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C:\Users\serras\Desktop\"/>
    </mc:Choice>
  </mc:AlternateContent>
  <xr:revisionPtr revIDLastSave="0" documentId="13_ncr:1_{CF6DA588-4482-40AA-B192-442AF5E9A15E}" xr6:coauthVersionLast="36" xr6:coauthVersionMax="36" xr10:uidLastSave="{00000000-0000-0000-0000-000000000000}"/>
  <bookViews>
    <workbookView xWindow="-120" yWindow="-120" windowWidth="29040" windowHeight="15840" tabRatio="794" xr2:uid="{00000000-000D-0000-FFFF-FFFF00000000}"/>
  </bookViews>
  <sheets>
    <sheet name="Texte intro" sheetId="62" r:id="rId1"/>
    <sheet name="5 ans Modèle" sheetId="74" r:id="rId2"/>
    <sheet name="SZ" sheetId="78" state="hidden" r:id="rId3"/>
    <sheet name="Cartes de zones" sheetId="79" r:id="rId4"/>
    <sheet name="Equation" sheetId="77" state="hidden" r:id="rId5"/>
    <sheet name="A2" sheetId="5" state="hidden" r:id="rId6"/>
    <sheet name="A" sheetId="80" state="hidden" r:id="rId7"/>
  </sheets>
  <definedNames>
    <definedName name="Coefficient_de_ruissellement_à_atteindre" localSheetId="1">#REF!</definedName>
    <definedName name="Coefficient_de_ruissellement_à_atteindre" localSheetId="6">#REF!</definedName>
    <definedName name="Coefficient_de_ruissellement_à_atteindre">#REF!</definedName>
  </definedNames>
  <calcPr calcId="191029"/>
</workbook>
</file>

<file path=xl/calcChain.xml><?xml version="1.0" encoding="utf-8"?>
<calcChain xmlns="http://schemas.openxmlformats.org/spreadsheetml/2006/main">
  <c r="L63" i="80" l="1"/>
  <c r="U46" i="80"/>
  <c r="L46" i="80"/>
  <c r="U45" i="80"/>
  <c r="L45" i="80"/>
  <c r="U44" i="80"/>
  <c r="L44" i="80"/>
  <c r="U43" i="80"/>
  <c r="L43" i="80"/>
  <c r="U42" i="80"/>
  <c r="L42" i="80"/>
  <c r="U41" i="80"/>
  <c r="L41" i="80"/>
  <c r="U40" i="80"/>
  <c r="L40" i="80"/>
  <c r="U39" i="80"/>
  <c r="L39" i="80"/>
  <c r="U38" i="80"/>
  <c r="L38" i="80"/>
  <c r="D40" i="80"/>
  <c r="U37" i="80"/>
  <c r="L37" i="80"/>
  <c r="U36" i="80"/>
  <c r="L36" i="80"/>
  <c r="U35" i="80"/>
  <c r="L35" i="80"/>
  <c r="C35" i="80"/>
  <c r="C36" i="80" s="1"/>
  <c r="U34" i="80"/>
  <c r="L34" i="80"/>
  <c r="C34" i="80"/>
  <c r="V31" i="80"/>
  <c r="M31" i="80"/>
  <c r="V30" i="80"/>
  <c r="M30" i="80"/>
  <c r="N30" i="80" s="1"/>
  <c r="V29" i="80"/>
  <c r="W29" i="80" s="1"/>
  <c r="M29" i="80"/>
  <c r="V28" i="80"/>
  <c r="M28" i="80"/>
  <c r="N28" i="80" s="1"/>
  <c r="V27" i="80"/>
  <c r="M27" i="80"/>
  <c r="W26" i="80"/>
  <c r="V26" i="80"/>
  <c r="N26" i="80"/>
  <c r="M26" i="80"/>
  <c r="C26" i="80"/>
  <c r="C27" i="80" s="1"/>
  <c r="C28" i="80" s="1"/>
  <c r="V25" i="80"/>
  <c r="M25" i="80"/>
  <c r="V24" i="80"/>
  <c r="W24" i="80" s="1"/>
  <c r="M24" i="80"/>
  <c r="N25" i="80" s="1"/>
  <c r="V23" i="80"/>
  <c r="M23" i="80"/>
  <c r="N23" i="80" s="1"/>
  <c r="V22" i="80"/>
  <c r="M22" i="80"/>
  <c r="V21" i="80"/>
  <c r="M21" i="80"/>
  <c r="N22" i="80" s="1"/>
  <c r="V16" i="80"/>
  <c r="W16" i="80" s="1"/>
  <c r="M16" i="80"/>
  <c r="V15" i="80"/>
  <c r="M15" i="80"/>
  <c r="N15" i="80" s="1"/>
  <c r="V14" i="80"/>
  <c r="M14" i="80"/>
  <c r="V13" i="80"/>
  <c r="W13" i="80" s="1"/>
  <c r="M13" i="80"/>
  <c r="N13" i="80" s="1"/>
  <c r="V12" i="80"/>
  <c r="M12" i="80"/>
  <c r="N12" i="80" s="1"/>
  <c r="V11" i="80"/>
  <c r="M11" i="80"/>
  <c r="N11" i="80" s="1"/>
  <c r="V10" i="80"/>
  <c r="W10" i="80" s="1"/>
  <c r="M10" i="80"/>
  <c r="N10" i="80" s="1"/>
  <c r="V9" i="80"/>
  <c r="M9" i="80"/>
  <c r="N9" i="80" s="1"/>
  <c r="V8" i="80"/>
  <c r="W8" i="80" s="1"/>
  <c r="M8" i="80"/>
  <c r="V7" i="80"/>
  <c r="N7" i="80"/>
  <c r="M7" i="80"/>
  <c r="V6" i="80"/>
  <c r="M6" i="80"/>
  <c r="N24" i="80" l="1"/>
  <c r="W7" i="80"/>
  <c r="N14" i="80"/>
  <c r="N27" i="80"/>
  <c r="W30" i="80"/>
  <c r="N8" i="80"/>
  <c r="W11" i="80"/>
  <c r="W15" i="80"/>
  <c r="W22" i="80"/>
  <c r="W27" i="80"/>
  <c r="N31" i="80"/>
  <c r="W25" i="80"/>
  <c r="W31" i="80"/>
  <c r="W28" i="80"/>
  <c r="W9" i="80"/>
  <c r="W12" i="80"/>
  <c r="N16" i="80"/>
  <c r="W23" i="80"/>
  <c r="N29" i="80"/>
  <c r="H4" i="80"/>
  <c r="L60" i="80"/>
  <c r="L64" i="80"/>
  <c r="L56" i="80"/>
  <c r="L58" i="80"/>
  <c r="L66" i="80"/>
  <c r="L61" i="80"/>
  <c r="W14" i="80"/>
  <c r="L59" i="80"/>
  <c r="L67" i="80"/>
  <c r="L62" i="80"/>
  <c r="L57" i="80"/>
  <c r="L65" i="80"/>
  <c r="L68" i="80"/>
  <c r="D35" i="74"/>
  <c r="R7" i="80" l="1"/>
  <c r="Q45" i="80"/>
  <c r="H42" i="80"/>
  <c r="H28" i="80"/>
  <c r="H7" i="80"/>
  <c r="R6" i="80"/>
  <c r="Q27" i="80"/>
  <c r="R8" i="80"/>
  <c r="Q26" i="80"/>
  <c r="H37" i="80"/>
  <c r="I6" i="80"/>
  <c r="Q34" i="80"/>
  <c r="H19" i="80"/>
  <c r="R27" i="80"/>
  <c r="H38" i="80"/>
  <c r="I21" i="80"/>
  <c r="I9" i="80"/>
  <c r="H9" i="80" s="1"/>
  <c r="Q28" i="80"/>
  <c r="Q5" i="80"/>
  <c r="Q35" i="80"/>
  <c r="R29" i="80"/>
  <c r="H27" i="80"/>
  <c r="I24" i="80"/>
  <c r="H24" i="80" s="1"/>
  <c r="I26" i="80"/>
  <c r="R10" i="80"/>
  <c r="I29" i="80"/>
  <c r="H8" i="80"/>
  <c r="Q12" i="80"/>
  <c r="R4" i="80"/>
  <c r="I20" i="80"/>
  <c r="I5" i="80"/>
  <c r="H26" i="80"/>
  <c r="Q6" i="80"/>
  <c r="H30" i="80"/>
  <c r="H20" i="80"/>
  <c r="H43" i="80"/>
  <c r="Q21" i="80"/>
  <c r="Q13" i="80"/>
  <c r="R24" i="80"/>
  <c r="Q24" i="80" s="1"/>
  <c r="H29" i="80"/>
  <c r="Q37" i="80"/>
  <c r="R15" i="80"/>
  <c r="R26" i="80"/>
  <c r="R19" i="80"/>
  <c r="I28" i="80"/>
  <c r="Q19" i="80"/>
  <c r="Q38" i="80"/>
  <c r="R22" i="80"/>
  <c r="R37" i="80" s="1"/>
  <c r="Q8" i="80"/>
  <c r="I10" i="80"/>
  <c r="Q23" i="80"/>
  <c r="R25" i="80"/>
  <c r="Q43" i="80"/>
  <c r="H5" i="80"/>
  <c r="H15" i="80"/>
  <c r="H11" i="80"/>
  <c r="H34" i="80"/>
  <c r="Q42" i="80"/>
  <c r="H35" i="80"/>
  <c r="I14" i="80"/>
  <c r="Q20" i="80"/>
  <c r="Q15" i="80"/>
  <c r="H22" i="80"/>
  <c r="R12" i="80"/>
  <c r="R42" i="80" s="1"/>
  <c r="I30" i="80"/>
  <c r="I19" i="80"/>
  <c r="I27" i="80"/>
  <c r="Q7" i="80"/>
  <c r="H21" i="80"/>
  <c r="I22" i="80"/>
  <c r="I25" i="80"/>
  <c r="R30" i="80"/>
  <c r="R14" i="80"/>
  <c r="Q30" i="80"/>
  <c r="H13" i="80"/>
  <c r="H12" i="80"/>
  <c r="H14" i="80"/>
  <c r="I13" i="80"/>
  <c r="I43" i="80" s="1"/>
  <c r="Q11" i="80"/>
  <c r="Q25" i="80"/>
  <c r="I15" i="80"/>
  <c r="I45" i="80" s="1"/>
  <c r="R23" i="80"/>
  <c r="Q4" i="80"/>
  <c r="I11" i="80"/>
  <c r="R20" i="80"/>
  <c r="I23" i="80"/>
  <c r="H23" i="80"/>
  <c r="H41" i="80"/>
  <c r="R21" i="80"/>
  <c r="H6" i="80"/>
  <c r="H44" i="80"/>
  <c r="Q41" i="80"/>
  <c r="Q36" i="80"/>
  <c r="Q29" i="80"/>
  <c r="H36" i="80"/>
  <c r="I8" i="80"/>
  <c r="R9" i="80"/>
  <c r="Q9" i="80" s="1"/>
  <c r="R11" i="80"/>
  <c r="H45" i="80"/>
  <c r="R13" i="80"/>
  <c r="Q22" i="80"/>
  <c r="I12" i="80"/>
  <c r="H10" i="80"/>
  <c r="R5" i="80"/>
  <c r="R35" i="80" s="1"/>
  <c r="Q44" i="80"/>
  <c r="I7" i="80"/>
  <c r="R28" i="80"/>
  <c r="R43" i="80" s="1"/>
  <c r="I4" i="80"/>
  <c r="Q14" i="80"/>
  <c r="R34" i="80"/>
  <c r="G27" i="74"/>
  <c r="R36" i="80" l="1"/>
  <c r="I42" i="80"/>
  <c r="R41" i="80"/>
  <c r="I41" i="80"/>
  <c r="R38" i="80"/>
  <c r="R39" i="80"/>
  <c r="Q39" i="80" s="1"/>
  <c r="I37" i="80"/>
  <c r="I36" i="80"/>
  <c r="R44" i="80"/>
  <c r="R40" i="80"/>
  <c r="Q40" i="80" s="1"/>
  <c r="D15" i="80"/>
  <c r="I40" i="80"/>
  <c r="H40" i="80" s="1"/>
  <c r="Q10" i="80"/>
  <c r="D14" i="80" s="1"/>
  <c r="I39" i="80"/>
  <c r="H39" i="80" s="1"/>
  <c r="I44" i="80"/>
  <c r="H25" i="80"/>
  <c r="C15" i="80" s="1"/>
  <c r="I35" i="80"/>
  <c r="C14" i="80"/>
  <c r="I38" i="80"/>
  <c r="I34" i="80"/>
  <c r="R45" i="80"/>
  <c r="E17" i="77"/>
  <c r="D17" i="77"/>
  <c r="C17" i="77"/>
  <c r="B17" i="77"/>
  <c r="E16" i="77"/>
  <c r="D16" i="77"/>
  <c r="C16" i="77"/>
  <c r="B16" i="77"/>
  <c r="E15" i="77"/>
  <c r="D15" i="77"/>
  <c r="C15" i="77"/>
  <c r="B15" i="77"/>
  <c r="D16" i="80" l="1"/>
  <c r="C16" i="80"/>
  <c r="G29" i="74"/>
  <c r="H26" i="74"/>
  <c r="H25" i="74"/>
  <c r="H24" i="74"/>
  <c r="H23" i="74"/>
  <c r="H22" i="74"/>
  <c r="H21" i="74"/>
  <c r="H20" i="74"/>
  <c r="H19" i="74"/>
  <c r="H18" i="74"/>
  <c r="H17" i="74"/>
  <c r="H16" i="74"/>
  <c r="H15" i="74"/>
  <c r="H14" i="74"/>
  <c r="H13" i="74"/>
  <c r="H12" i="74"/>
  <c r="H11" i="74"/>
  <c r="H27" i="74" l="1"/>
  <c r="H29" i="74" s="1"/>
  <c r="G31" i="74" l="1"/>
  <c r="B2" i="78"/>
  <c r="D36" i="74" l="1"/>
  <c r="H53" i="80" s="1"/>
  <c r="C2" i="78"/>
  <c r="B4" i="78"/>
  <c r="B38" i="74"/>
  <c r="I20" i="74"/>
  <c r="I26" i="74"/>
  <c r="I25" i="74"/>
  <c r="I24" i="74"/>
  <c r="I23" i="74"/>
  <c r="I22" i="74"/>
  <c r="I21" i="74"/>
  <c r="I19" i="74"/>
  <c r="I18" i="74"/>
  <c r="I17" i="74"/>
  <c r="I16" i="74"/>
  <c r="I15" i="74"/>
  <c r="I14" i="74"/>
  <c r="I13" i="74"/>
  <c r="I12" i="74"/>
  <c r="I11" i="74"/>
  <c r="G49" i="80" l="1"/>
  <c r="G50" i="80"/>
  <c r="I27" i="74"/>
  <c r="I29" i="74" s="1"/>
  <c r="D40" i="74" l="1"/>
  <c r="D37" i="74" l="1"/>
  <c r="H50" i="80" s="1"/>
  <c r="D34" i="74"/>
  <c r="D38" i="74" l="1"/>
  <c r="G53" i="80"/>
  <c r="G52" i="80"/>
  <c r="D39" i="74"/>
  <c r="L55" i="5"/>
  <c r="H66" i="5"/>
  <c r="U34" i="5"/>
  <c r="Q56" i="5"/>
  <c r="U46" i="5"/>
  <c r="Q68" i="5"/>
  <c r="U45" i="5"/>
  <c r="Q67" i="5"/>
  <c r="U44" i="5"/>
  <c r="Q66" i="5"/>
  <c r="U43" i="5"/>
  <c r="Q65" i="5"/>
  <c r="U42" i="5"/>
  <c r="Q64" i="5"/>
  <c r="U41" i="5"/>
  <c r="Q63" i="5"/>
  <c r="U40" i="5"/>
  <c r="Q62" i="5"/>
  <c r="U39" i="5"/>
  <c r="Q61" i="5"/>
  <c r="U38" i="5"/>
  <c r="Q60" i="5"/>
  <c r="U37" i="5"/>
  <c r="Q59" i="5"/>
  <c r="U36" i="5"/>
  <c r="Q58" i="5"/>
  <c r="U35" i="5"/>
  <c r="Q57" i="5"/>
  <c r="L35" i="5"/>
  <c r="H57" i="5"/>
  <c r="L36" i="5"/>
  <c r="H58" i="5"/>
  <c r="L37" i="5"/>
  <c r="H59" i="5"/>
  <c r="L38" i="5"/>
  <c r="H60" i="5"/>
  <c r="L39" i="5"/>
  <c r="H61" i="5"/>
  <c r="L40" i="5"/>
  <c r="H62" i="5"/>
  <c r="L41" i="5"/>
  <c r="H63" i="5"/>
  <c r="L42" i="5"/>
  <c r="H64" i="5"/>
  <c r="L43" i="5"/>
  <c r="H65" i="5"/>
  <c r="L44" i="5"/>
  <c r="L45" i="5"/>
  <c r="H67" i="5"/>
  <c r="L46" i="5"/>
  <c r="H68" i="5"/>
  <c r="L34" i="5"/>
  <c r="H56" i="5"/>
  <c r="V31" i="5"/>
  <c r="V30" i="5"/>
  <c r="V29" i="5"/>
  <c r="V28" i="5"/>
  <c r="V27" i="5"/>
  <c r="V26" i="5"/>
  <c r="V25" i="5"/>
  <c r="W26" i="5" s="1"/>
  <c r="V24" i="5"/>
  <c r="V23" i="5"/>
  <c r="V22" i="5"/>
  <c r="V21" i="5"/>
  <c r="V16" i="5"/>
  <c r="V15" i="5"/>
  <c r="W15" i="5" s="1"/>
  <c r="V14" i="5"/>
  <c r="V13" i="5"/>
  <c r="V12" i="5"/>
  <c r="V11" i="5"/>
  <c r="V10" i="5"/>
  <c r="V9" i="5"/>
  <c r="V8" i="5"/>
  <c r="V7" i="5"/>
  <c r="V6" i="5"/>
  <c r="M31" i="5"/>
  <c r="M30" i="5"/>
  <c r="M29" i="5"/>
  <c r="M28" i="5"/>
  <c r="M27" i="5"/>
  <c r="M26" i="5"/>
  <c r="M25" i="5"/>
  <c r="M24" i="5"/>
  <c r="M23" i="5"/>
  <c r="M22" i="5"/>
  <c r="M21" i="5"/>
  <c r="M6" i="5"/>
  <c r="M7" i="5"/>
  <c r="N7" i="5" s="1"/>
  <c r="M8" i="5"/>
  <c r="N8" i="5"/>
  <c r="M9" i="5"/>
  <c r="N9" i="5" s="1"/>
  <c r="M10" i="5"/>
  <c r="N10" i="5" s="1"/>
  <c r="M11" i="5"/>
  <c r="N12" i="5" s="1"/>
  <c r="M12" i="5"/>
  <c r="M13" i="5"/>
  <c r="N13" i="5" s="1"/>
  <c r="M14" i="5"/>
  <c r="M15" i="5"/>
  <c r="M16" i="5"/>
  <c r="C26" i="5"/>
  <c r="C27" i="5" s="1"/>
  <c r="C28" i="5" s="1"/>
  <c r="D38" i="5" s="1"/>
  <c r="C34" i="5"/>
  <c r="C35" i="5" s="1"/>
  <c r="C36" i="5" s="1"/>
  <c r="D39" i="5" s="1"/>
  <c r="D42" i="5"/>
  <c r="W16" i="5"/>
  <c r="N16" i="5" l="1"/>
  <c r="N14" i="5"/>
  <c r="N22" i="5"/>
  <c r="W31" i="5"/>
  <c r="W24" i="5"/>
  <c r="W23" i="5"/>
  <c r="N30" i="5"/>
  <c r="W14" i="5"/>
  <c r="N24" i="5"/>
  <c r="W27" i="5"/>
  <c r="W8" i="5"/>
  <c r="N23" i="5"/>
  <c r="N31" i="5"/>
  <c r="N26" i="5"/>
  <c r="W22" i="5"/>
  <c r="W29" i="5"/>
  <c r="N29" i="5"/>
  <c r="W11" i="5"/>
  <c r="N15" i="5"/>
  <c r="W25" i="5"/>
  <c r="W30" i="5"/>
  <c r="N25" i="5"/>
  <c r="W7" i="5"/>
  <c r="N11" i="5"/>
  <c r="N27" i="5"/>
  <c r="W9" i="5"/>
  <c r="W28" i="5"/>
  <c r="D40" i="5"/>
  <c r="N28" i="5"/>
  <c r="W10" i="5"/>
  <c r="W13" i="5"/>
  <c r="W12" i="5"/>
  <c r="L68" i="5"/>
  <c r="L59" i="5"/>
  <c r="L67" i="5"/>
  <c r="L65" i="5"/>
  <c r="L61" i="5"/>
  <c r="L60" i="5"/>
  <c r="L56" i="5"/>
  <c r="L62" i="5"/>
  <c r="L57" i="5"/>
  <c r="L66" i="5"/>
  <c r="L63" i="5"/>
  <c r="L58" i="5"/>
  <c r="L64" i="5"/>
  <c r="C11" i="5"/>
  <c r="R28" i="5" l="1"/>
  <c r="Q28" i="5" s="1"/>
  <c r="I23" i="5"/>
  <c r="H23" i="5" s="1"/>
  <c r="I8" i="5"/>
  <c r="H8" i="5" s="1"/>
  <c r="I27" i="5"/>
  <c r="I5" i="5"/>
  <c r="H27" i="5"/>
  <c r="R11" i="5"/>
  <c r="I11" i="5"/>
  <c r="G49" i="5"/>
  <c r="Q11" i="5"/>
  <c r="I9" i="5"/>
  <c r="R30" i="5"/>
  <c r="Q30" i="5" s="1"/>
  <c r="I30" i="5"/>
  <c r="H30" i="5" s="1"/>
  <c r="R24" i="5"/>
  <c r="R19" i="5"/>
  <c r="Q19" i="5" s="1"/>
  <c r="Q24" i="5"/>
  <c r="I7" i="5"/>
  <c r="H7" i="5" s="1"/>
  <c r="I26" i="5"/>
  <c r="H26" i="5" s="1"/>
  <c r="I6" i="5"/>
  <c r="H6" i="5" s="1"/>
  <c r="H5" i="5"/>
  <c r="H9" i="5"/>
  <c r="I15" i="5"/>
  <c r="H15" i="5" s="1"/>
  <c r="R7" i="5"/>
  <c r="Q7" i="5" s="1"/>
  <c r="R27" i="5"/>
  <c r="Q27" i="5"/>
  <c r="R23" i="5"/>
  <c r="Q23" i="5" s="1"/>
  <c r="I25" i="5"/>
  <c r="R8" i="5"/>
  <c r="Q8" i="5" s="1"/>
  <c r="I14" i="5"/>
  <c r="H14" i="5" s="1"/>
  <c r="R13" i="5"/>
  <c r="Q13" i="5" s="1"/>
  <c r="I19" i="5"/>
  <c r="H19" i="5" s="1"/>
  <c r="R10" i="5"/>
  <c r="I12" i="5"/>
  <c r="H12" i="5" s="1"/>
  <c r="I4" i="5"/>
  <c r="H4" i="5" s="1"/>
  <c r="R21" i="5"/>
  <c r="Q21" i="5" s="1"/>
  <c r="Q10" i="5"/>
  <c r="R26" i="5"/>
  <c r="Q26" i="5" s="1"/>
  <c r="R29" i="5"/>
  <c r="Q29" i="5" s="1"/>
  <c r="R20" i="5"/>
  <c r="Q20" i="5" s="1"/>
  <c r="R22" i="5"/>
  <c r="Q22" i="5" s="1"/>
  <c r="I21" i="5"/>
  <c r="H21" i="5" s="1"/>
  <c r="I29" i="5"/>
  <c r="H29" i="5" s="1"/>
  <c r="I13" i="5"/>
  <c r="H13" i="5" s="1"/>
  <c r="R14" i="5"/>
  <c r="Q14" i="5" s="1"/>
  <c r="R12" i="5"/>
  <c r="Q12" i="5" s="1"/>
  <c r="H53" i="5"/>
  <c r="R5" i="5"/>
  <c r="Q5" i="5" s="1"/>
  <c r="R25" i="5"/>
  <c r="Q25" i="5" s="1"/>
  <c r="I28" i="5"/>
  <c r="H28" i="5" s="1"/>
  <c r="R6" i="5"/>
  <c r="Q6" i="5" s="1"/>
  <c r="I22" i="5"/>
  <c r="H22" i="5" s="1"/>
  <c r="R4" i="5"/>
  <c r="Q4" i="5" s="1"/>
  <c r="H25" i="5"/>
  <c r="I24" i="5"/>
  <c r="H11" i="5"/>
  <c r="I20" i="5"/>
  <c r="H20" i="5" s="1"/>
  <c r="R9" i="5"/>
  <c r="Q9" i="5" s="1"/>
  <c r="R15" i="5"/>
  <c r="Q15" i="5" s="1"/>
  <c r="I10" i="5"/>
  <c r="H10" i="5" s="1"/>
  <c r="G50" i="5"/>
  <c r="R42" i="5" l="1"/>
  <c r="Q42" i="5" s="1"/>
  <c r="I39" i="5"/>
  <c r="H39" i="5" s="1"/>
  <c r="I38" i="5"/>
  <c r="H38" i="5" s="1"/>
  <c r="I44" i="5"/>
  <c r="H44" i="5" s="1"/>
  <c r="R40" i="5"/>
  <c r="Q40" i="5" s="1"/>
  <c r="I36" i="5"/>
  <c r="H36" i="5" s="1"/>
  <c r="R43" i="5"/>
  <c r="Q43" i="5" s="1"/>
  <c r="I35" i="5"/>
  <c r="H35" i="5" s="1"/>
  <c r="R45" i="5"/>
  <c r="Q45" i="5" s="1"/>
  <c r="R34" i="5"/>
  <c r="Q34" i="5" s="1"/>
  <c r="R39" i="5"/>
  <c r="Q39" i="5" s="1"/>
  <c r="I41" i="5"/>
  <c r="H41" i="5" s="1"/>
  <c r="I43" i="5"/>
  <c r="H43" i="5" s="1"/>
  <c r="I42" i="5"/>
  <c r="H42" i="5" s="1"/>
  <c r="H24" i="5"/>
  <c r="C15" i="5" s="1"/>
  <c r="R37" i="5"/>
  <c r="Q37" i="5" s="1"/>
  <c r="R41" i="5"/>
  <c r="Q41" i="5" s="1"/>
  <c r="I34" i="5"/>
  <c r="H34" i="5" s="1"/>
  <c r="R36" i="5"/>
  <c r="Q36" i="5" s="1"/>
  <c r="I40" i="5"/>
  <c r="H40" i="5" s="1"/>
  <c r="I37" i="5"/>
  <c r="H37" i="5" s="1"/>
  <c r="I45" i="5"/>
  <c r="H45" i="5" s="1"/>
  <c r="C14" i="5"/>
  <c r="D15" i="5"/>
  <c r="D14" i="5"/>
  <c r="R44" i="5"/>
  <c r="Q44" i="5" s="1"/>
  <c r="R38" i="5"/>
  <c r="Q38" i="5" s="1"/>
  <c r="R35" i="5"/>
  <c r="Q35" i="5" s="1"/>
  <c r="C16" i="5" l="1"/>
  <c r="H50" i="5" s="1"/>
  <c r="D16" i="5"/>
  <c r="G53" i="5" l="1"/>
  <c r="G52" i="5"/>
</calcChain>
</file>

<file path=xl/sharedStrings.xml><?xml version="1.0" encoding="utf-8"?>
<sst xmlns="http://schemas.openxmlformats.org/spreadsheetml/2006/main" count="286" uniqueCount="142">
  <si>
    <t>Intensité pluviométrique (SN 640 350):</t>
  </si>
  <si>
    <t>[-]</t>
  </si>
  <si>
    <t>Intensité</t>
  </si>
  <si>
    <t>[mm/h]</t>
  </si>
  <si>
    <t>Plateau</t>
  </si>
  <si>
    <t>aT</t>
  </si>
  <si>
    <t>bT</t>
  </si>
  <si>
    <t>t</t>
  </si>
  <si>
    <t>[l/s/ha]</t>
  </si>
  <si>
    <t>T = 1ans</t>
  </si>
  <si>
    <t>Préalpes</t>
  </si>
  <si>
    <t>Pluie</t>
  </si>
  <si>
    <t>Transition</t>
  </si>
  <si>
    <t>[l/s]</t>
  </si>
  <si>
    <t>Admis: temps de concentration:</t>
  </si>
  <si>
    <t>Région Plateau Z = 5 ans</t>
  </si>
  <si>
    <t>interval q ab</t>
  </si>
  <si>
    <t>v spec</t>
  </si>
  <si>
    <t>q ab =</t>
  </si>
  <si>
    <t>x</t>
  </si>
  <si>
    <t>y</t>
  </si>
  <si>
    <t>Région Plateau Z = 1 ans</t>
  </si>
  <si>
    <t>Région Préalpes Z = 5 ans</t>
  </si>
  <si>
    <t>1 an</t>
  </si>
  <si>
    <t>5 ans</t>
  </si>
  <si>
    <t>Région Préalpes Z = 1 ans</t>
  </si>
  <si>
    <t>Région Transition Z = 5 ans</t>
  </si>
  <si>
    <t>Région Transition Z = 1 ans</t>
  </si>
  <si>
    <t>[l/(s*ha)]</t>
  </si>
  <si>
    <t>Graphique</t>
  </si>
  <si>
    <t>Débit</t>
  </si>
  <si>
    <t>Coefficient de ruissellement</t>
  </si>
  <si>
    <r>
      <t>[l/(s*ha</t>
    </r>
    <r>
      <rPr>
        <vertAlign val="subscript"/>
        <sz val="10"/>
        <rFont val="Arial"/>
        <family val="2"/>
      </rPr>
      <t>réd</t>
    </r>
    <r>
      <rPr>
        <sz val="10"/>
        <rFont val="Arial"/>
        <family val="2"/>
      </rPr>
      <t>)]</t>
    </r>
  </si>
  <si>
    <t>Débit sortant spécifique</t>
  </si>
  <si>
    <t xml:space="preserve">Coefficient de ruissellement </t>
  </si>
  <si>
    <t>Débit sortant</t>
  </si>
  <si>
    <t>Débit sortant par ha</t>
  </si>
  <si>
    <t>Objet :</t>
  </si>
  <si>
    <t xml:space="preserve">Mandataire : </t>
  </si>
  <si>
    <t>Surfaces types</t>
  </si>
  <si>
    <t>Coefficient</t>
  </si>
  <si>
    <t>Y</t>
  </si>
  <si>
    <t>l/sec</t>
  </si>
  <si>
    <t>m3</t>
  </si>
  <si>
    <t>Surfaces vertes</t>
  </si>
  <si>
    <t xml:space="preserve">Total </t>
  </si>
  <si>
    <t>CR moyen</t>
  </si>
  <si>
    <t>Hauteur en m' :</t>
  </si>
  <si>
    <t>Rayon en m' :</t>
  </si>
  <si>
    <t>Diam. et cm :</t>
  </si>
  <si>
    <t>Débit max. entrant</t>
  </si>
  <si>
    <t>Toiture :</t>
  </si>
  <si>
    <t>Volume</t>
  </si>
  <si>
    <t>indépendamment de l'épaisseur</t>
  </si>
  <si>
    <t>&gt; 50 cm de couche végétale</t>
  </si>
  <si>
    <t>&gt; 25 - 50 cm de couche végétale</t>
  </si>
  <si>
    <t>&gt; 10 - 25 cm de couche végétale</t>
  </si>
  <si>
    <t>&lt; 10 cm de couche végétale</t>
  </si>
  <si>
    <t>Revêtement dur</t>
  </si>
  <si>
    <t>Pavés avec joints gravillonnés</t>
  </si>
  <si>
    <t>Revêtement filtrants</t>
  </si>
  <si>
    <t>Pavés filtrants</t>
  </si>
  <si>
    <t>Grilles gazon</t>
  </si>
  <si>
    <t>Toitures</t>
  </si>
  <si>
    <t>inclinées et plates</t>
  </si>
  <si>
    <t>végétalisées</t>
  </si>
  <si>
    <t>Routes et places</t>
  </si>
  <si>
    <t xml:space="preserve">Revêtement graveleux </t>
  </si>
  <si>
    <t>Données de base</t>
  </si>
  <si>
    <t>Surface de la parcelle</t>
  </si>
  <si>
    <t>Volume Formule Bulle</t>
  </si>
  <si>
    <t>végétalisée ou gravier avec rétention</t>
  </si>
  <si>
    <t>Surface</t>
  </si>
  <si>
    <t>asphalte, béton et pavés jointoyés</t>
  </si>
  <si>
    <t>Surface réduite</t>
  </si>
  <si>
    <t>l/s/ha</t>
  </si>
  <si>
    <t>plates avec gravier sans rétention</t>
  </si>
  <si>
    <r>
      <t>m</t>
    </r>
    <r>
      <rPr>
        <vertAlign val="superscript"/>
        <sz val="12"/>
        <color theme="1"/>
        <rFont val="Calibri"/>
        <family val="2"/>
        <scheme val="minor"/>
      </rPr>
      <t>2</t>
    </r>
  </si>
  <si>
    <t>y compris petites surfaces non raccordées</t>
  </si>
  <si>
    <t>Piscines</t>
  </si>
  <si>
    <t>Pluie de Projet</t>
  </si>
  <si>
    <t>Débit maximum de restitution</t>
  </si>
  <si>
    <r>
      <t>Temps retour  5</t>
    </r>
    <r>
      <rPr>
        <b/>
        <sz val="12"/>
        <color theme="1"/>
        <rFont val="Calibri"/>
        <family val="2"/>
        <scheme val="minor"/>
      </rPr>
      <t xml:space="preserve"> ans</t>
    </r>
    <r>
      <rPr>
        <sz val="12"/>
        <color theme="1"/>
        <rFont val="Calibri"/>
        <family val="2"/>
        <scheme val="minor"/>
      </rPr>
      <t xml:space="preserve"> - 15</t>
    </r>
    <r>
      <rPr>
        <b/>
        <sz val="12"/>
        <color theme="1"/>
        <rFont val="Calibri"/>
        <family val="2"/>
        <scheme val="minor"/>
      </rPr>
      <t xml:space="preserve"> min.</t>
    </r>
  </si>
  <si>
    <r>
      <t>Débit en m</t>
    </r>
    <r>
      <rPr>
        <vertAlign val="superscript"/>
        <sz val="10"/>
        <rFont val="Calibri"/>
        <family val="2"/>
        <scheme val="minor"/>
      </rPr>
      <t>3</t>
    </r>
    <r>
      <rPr>
        <sz val="10"/>
        <rFont val="Calibri"/>
        <family val="2"/>
        <scheme val="minor"/>
      </rPr>
      <t>/sec :</t>
    </r>
  </si>
  <si>
    <t>Route et place avec rétention</t>
  </si>
  <si>
    <t>Volume de rétention spéc.  (min. 92)</t>
  </si>
  <si>
    <t>Objectif et limites d'utilisation du présent formulaire</t>
  </si>
  <si>
    <t>Pour les projets de construction de plusieurs parcelles (plus de 3000 m2) et pour les plans de quartier, les calculs doivent être effectués par un ingénieur spécialisé. C'est également le cas si l'ouvrage de rétention dimensionné fait plus de 40 m3.</t>
  </si>
  <si>
    <t>la directive VSA "Evacuation des eaux pluviales, Directive sur l'infiltration, la rétention et l'évacuation des eaux pluviales dans les agglomérations", édition 2019.</t>
  </si>
  <si>
    <t>Selon la fiche annexée :</t>
  </si>
  <si>
    <t>Calcul du débit de restitution
et du volume du bassin de rétention</t>
  </si>
  <si>
    <t>Détermination du débit de restitution maximal</t>
  </si>
  <si>
    <t>Ouvrage de régulation du débit</t>
  </si>
  <si>
    <t>Calcul du volume de rétention</t>
  </si>
  <si>
    <t>Trop-plein de sécurité</t>
  </si>
  <si>
    <t>Seules les eaux pluviales peuvent être raccordées aux ouvrages de rétention. En principe, les eaux de drainage ne doivent pas être déversées dans un ouvrage de rétention.</t>
  </si>
  <si>
    <t>Architecte</t>
  </si>
  <si>
    <t>art. ----  -  Rte des_____________</t>
  </si>
  <si>
    <t>i T10 (l/s*ha)</t>
  </si>
  <si>
    <t>i T5 (l/s*ha)</t>
  </si>
  <si>
    <t>min</t>
  </si>
  <si>
    <t>bt</t>
  </si>
  <si>
    <t>at</t>
  </si>
  <si>
    <t>T10</t>
  </si>
  <si>
    <t>T5</t>
  </si>
  <si>
    <t>T1</t>
  </si>
  <si>
    <t>T0.5</t>
  </si>
  <si>
    <t>Dimensionnement des installations de rétention
méthode simplifiée</t>
  </si>
  <si>
    <t xml:space="preserve">Valeurs à renseigner par le mandataire  </t>
  </si>
  <si>
    <r>
      <t>m</t>
    </r>
    <r>
      <rPr>
        <b/>
        <vertAlign val="superscript"/>
        <sz val="12"/>
        <rFont val="Calibri"/>
        <family val="2"/>
        <scheme val="minor"/>
      </rPr>
      <t>2</t>
    </r>
  </si>
  <si>
    <r>
      <t>m</t>
    </r>
    <r>
      <rPr>
        <b/>
        <vertAlign val="superscript"/>
        <sz val="12"/>
        <rFont val="Calibri"/>
        <family val="2"/>
        <scheme val="minor"/>
      </rPr>
      <t>2</t>
    </r>
    <r>
      <rPr>
        <b/>
        <vertAlign val="subscript"/>
        <sz val="12"/>
        <rFont val="Calibri"/>
        <family val="2"/>
        <scheme val="minor"/>
      </rPr>
      <t>réd</t>
    </r>
  </si>
  <si>
    <t>l/s</t>
  </si>
  <si>
    <t>Débit réduit</t>
  </si>
  <si>
    <t>Terrasses et balcons</t>
  </si>
  <si>
    <t>indépendamment des matériaux</t>
  </si>
  <si>
    <t>avec coffre min 20 cm</t>
  </si>
  <si>
    <t>terrain avec pente jusqu'à 10 %</t>
  </si>
  <si>
    <t>fournir le détail de la limitation du débit</t>
  </si>
  <si>
    <r>
      <t>m</t>
    </r>
    <r>
      <rPr>
        <vertAlign val="superscript"/>
        <sz val="12"/>
        <color theme="1"/>
        <rFont val="Calibri"/>
        <family val="2"/>
        <scheme val="minor"/>
      </rPr>
      <t>2</t>
    </r>
    <r>
      <rPr>
        <vertAlign val="subscript"/>
        <sz val="12"/>
        <color theme="1"/>
        <rFont val="Calibri"/>
        <family val="2"/>
        <scheme val="minor"/>
      </rPr>
      <t>réd</t>
    </r>
  </si>
  <si>
    <r>
      <t>Q</t>
    </r>
    <r>
      <rPr>
        <vertAlign val="subscript"/>
        <sz val="12"/>
        <rFont val="Calibri"/>
        <family val="2"/>
        <scheme val="minor"/>
      </rPr>
      <t>ab</t>
    </r>
  </si>
  <si>
    <r>
      <t>V</t>
    </r>
    <r>
      <rPr>
        <vertAlign val="subscript"/>
        <sz val="12"/>
        <rFont val="Calibri"/>
        <family val="2"/>
        <scheme val="minor"/>
      </rPr>
      <t>ab</t>
    </r>
  </si>
  <si>
    <r>
      <t>l/s/ha</t>
    </r>
    <r>
      <rPr>
        <vertAlign val="subscript"/>
        <sz val="12"/>
        <rFont val="Calibri"/>
        <family val="2"/>
        <scheme val="minor"/>
      </rPr>
      <t>réd</t>
    </r>
  </si>
  <si>
    <r>
      <t>m</t>
    </r>
    <r>
      <rPr>
        <vertAlign val="superscript"/>
        <sz val="12"/>
        <rFont val="Calibri"/>
        <family val="2"/>
        <scheme val="minor"/>
      </rPr>
      <t>3</t>
    </r>
    <r>
      <rPr>
        <sz val="12"/>
        <rFont val="Calibri"/>
        <family val="2"/>
        <scheme val="minor"/>
      </rPr>
      <t>/ha</t>
    </r>
    <r>
      <rPr>
        <vertAlign val="subscript"/>
        <sz val="12"/>
        <rFont val="Calibri"/>
        <family val="2"/>
        <scheme val="minor"/>
      </rPr>
      <t>réd</t>
    </r>
  </si>
  <si>
    <r>
      <t>V</t>
    </r>
    <r>
      <rPr>
        <vertAlign val="subscript"/>
        <sz val="10"/>
        <color theme="1"/>
        <rFont val="Arial"/>
        <family val="2"/>
      </rPr>
      <t>ab</t>
    </r>
    <r>
      <rPr>
        <sz val="10"/>
        <color theme="1"/>
        <rFont val="Arial"/>
        <family val="2"/>
      </rPr>
      <t xml:space="preserve">
(m</t>
    </r>
    <r>
      <rPr>
        <vertAlign val="superscript"/>
        <sz val="10"/>
        <color theme="1"/>
        <rFont val="Arial"/>
        <family val="2"/>
      </rPr>
      <t>3</t>
    </r>
    <r>
      <rPr>
        <sz val="10"/>
        <color theme="1"/>
        <rFont val="Arial"/>
        <family val="2"/>
      </rPr>
      <t>/ha</t>
    </r>
    <r>
      <rPr>
        <vertAlign val="subscript"/>
        <sz val="10"/>
        <color theme="1"/>
        <rFont val="Arial"/>
        <family val="2"/>
      </rPr>
      <t>réd</t>
    </r>
    <r>
      <rPr>
        <sz val="10"/>
        <color theme="1"/>
        <rFont val="Arial"/>
        <family val="2"/>
      </rPr>
      <t>)</t>
    </r>
  </si>
  <si>
    <r>
      <t>q</t>
    </r>
    <r>
      <rPr>
        <vertAlign val="subscript"/>
        <sz val="10"/>
        <color theme="1"/>
        <rFont val="Arial"/>
        <family val="2"/>
      </rPr>
      <t>ab</t>
    </r>
    <r>
      <rPr>
        <sz val="10"/>
        <color theme="1"/>
        <rFont val="Arial"/>
        <family val="2"/>
      </rPr>
      <t xml:space="preserve"> 
(l/s*ha</t>
    </r>
    <r>
      <rPr>
        <vertAlign val="subscript"/>
        <sz val="10"/>
        <color theme="1"/>
        <rFont val="Arial"/>
        <family val="2"/>
      </rPr>
      <t>réd</t>
    </r>
    <r>
      <rPr>
        <sz val="10"/>
        <color theme="1"/>
        <rFont val="Arial"/>
        <family val="2"/>
      </rPr>
      <t>)</t>
    </r>
  </si>
  <si>
    <t>Ce formulaire est applicable aux projets de construction ou d'agrandissement, afin de déterminer si une rétention des eaux pluviales est nécessaire, et le cas échéant, de dimensionner les ouvrages de rétention.</t>
  </si>
  <si>
    <t>Le calcul du volume de rétention se base sur  :</t>
  </si>
  <si>
    <t>les diagrammes de dimensionnement selon VSS 40 350 (édition 2109)
Région Plateau - Tessin Nord</t>
  </si>
  <si>
    <t>Le débit de restitution maximal est calculé avec une pluie de durée de 15 minutes et un temps de retour de 5 ans (selon normes VSS 40 350). Si les conditions locales l'exigent, la Commune peut augmenter les exigences.</t>
  </si>
  <si>
    <t>La régulation du débit sert à limiter le débit de restitution vers le milieu récepteur ou le collecteur public. Il doit être dimensionné pour laisser passer le débit de restitution maximal.</t>
  </si>
  <si>
    <t>Les toitures végétalisées peuvent être considérées comme des ouvrages de rétention.
La rétention sur une toiture végétalisée doit correspondre aux mêmes critères qu’une rétention classique.
La hauteur et le volume de rétention doivent tenir compte des caractéristiques de la couverture de toiture (substrat ou autre matériau). Des équipements de régulation des eaux doivent être installés en complément, faute de quoi l’aménagement ne pourra pas être considéré comme un ouvrage de rétention.</t>
  </si>
  <si>
    <t>Il doit pouvoir assurer une évacuation des eaux pour une pluie de 8 minutes et un temps de retour de 5 ans (selon VSS 40 350) soit une intensité de 105 mm/h</t>
  </si>
  <si>
    <t>Détermination des zones</t>
  </si>
  <si>
    <t>Selon carte de SCI - Surfaces constructibles imperméables</t>
  </si>
  <si>
    <t>Un trop-plein de sécurité doit être installé. Il ne devrait, dans l'idéal, être acheminé vers une dépression où les eaux peuvent déborder sans causer de dégâts.</t>
  </si>
  <si>
    <r>
      <t xml:space="preserve">Dans le cas où le résultat du </t>
    </r>
    <r>
      <rPr>
        <b/>
        <sz val="11"/>
        <color rgb="FFFF0000"/>
        <rFont val="Calibri"/>
        <family val="2"/>
        <scheme val="minor"/>
      </rPr>
      <t>CR moyen</t>
    </r>
    <r>
      <rPr>
        <sz val="11"/>
        <rFont val="Calibri"/>
        <family val="2"/>
        <scheme val="minor"/>
      </rPr>
      <t xml:space="preserve"> est inférieur au </t>
    </r>
    <r>
      <rPr>
        <b/>
        <sz val="11"/>
        <color rgb="FFFF0000"/>
        <rFont val="Calibri"/>
        <family val="2"/>
        <scheme val="minor"/>
      </rPr>
      <t>CR max.</t>
    </r>
    <r>
      <rPr>
        <sz val="11"/>
        <rFont val="Calibri"/>
        <family val="2"/>
        <scheme val="minor"/>
      </rPr>
      <t xml:space="preserve"> fixé pour la zone, la rétention n'est pas nécessaire mais recommandée.</t>
    </r>
  </si>
  <si>
    <t xml:space="preserve">   Voir carte des zones annexée</t>
  </si>
  <si>
    <t>Coefficient de ruissellement maximum</t>
  </si>
  <si>
    <t>OBJET - Exemple</t>
  </si>
  <si>
    <t>Version 1.0  19.02.2021</t>
  </si>
  <si>
    <r>
      <t>[l/(s*ha</t>
    </r>
    <r>
      <rPr>
        <vertAlign val="subscript"/>
        <sz val="10"/>
        <rFont val="Arial"/>
        <family val="2"/>
      </rPr>
      <t>réd</t>
    </r>
    <r>
      <rPr>
        <sz val="10"/>
        <rFont val="Arial"/>
      </rPr>
      <t>)]</t>
    </r>
  </si>
  <si>
    <t>Version 1.1  01.03.2021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</si>
</sst>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
    <numFmt numFmtId="166" formatCode="0.0000"/>
    <numFmt numFmtId="167" formatCode="#,##0.00_ ;\-#,##0.00\ "/>
    <numFmt numFmtId="168" formatCode="_ * #,##0.00_ ;_ * \-#,##0.00_ ;_ * \-??_ ;_ @_ "/>
    <numFmt numFmtId="169" formatCode="_ * #,##0_ ;_ * \-#,##0_ ;_ * \-??_ ;_ @_ "/>
  </numFmts>
  <fonts count="64" x14ac:knownFonts="1">
    <font>
      <sz val="10"/>
      <name val="Arial"/>
    </font>
    <font>
      <b/>
      <sz val="10"/>
      <name val="Arial"/>
      <family val="2"/>
    </font>
    <font>
      <sz val="10"/>
      <name val="Arial"/>
      <family val="2"/>
    </font>
    <font>
      <vertAlign val="subscript"/>
      <sz val="10"/>
      <name val="Arial"/>
      <family val="2"/>
    </font>
    <font>
      <sz val="9"/>
      <color indexed="8"/>
      <name val="Arial"/>
      <family val="2"/>
    </font>
    <font>
      <sz val="10"/>
      <name val="Calibri"/>
      <family val="2"/>
      <scheme val="minor"/>
    </font>
    <font>
      <sz val="14"/>
      <name val="Calibri"/>
      <family val="2"/>
      <scheme val="minor"/>
    </font>
    <font>
      <sz val="10"/>
      <color indexed="12"/>
      <name val="Calibri"/>
      <family val="2"/>
      <scheme val="minor"/>
    </font>
    <font>
      <sz val="10"/>
      <color rgb="FFFF0000"/>
      <name val="Calibri"/>
      <family val="2"/>
      <scheme val="minor"/>
    </font>
    <font>
      <b/>
      <sz val="14"/>
      <name val="Calibri"/>
      <family val="2"/>
      <scheme val="minor"/>
    </font>
    <font>
      <b/>
      <sz val="10"/>
      <name val="Calibri"/>
      <family val="2"/>
      <scheme val="minor"/>
    </font>
    <font>
      <b/>
      <sz val="12"/>
      <name val="Calibri"/>
      <family val="2"/>
      <scheme val="minor"/>
    </font>
    <font>
      <sz val="12"/>
      <name val="Calibri"/>
      <family val="2"/>
      <scheme val="minor"/>
    </font>
    <font>
      <sz val="12"/>
      <color rgb="FFFF0000"/>
      <name val="Calibri"/>
      <family val="2"/>
      <scheme val="minor"/>
    </font>
    <font>
      <sz val="12"/>
      <color theme="1"/>
      <name val="Calibri"/>
      <family val="2"/>
      <scheme val="minor"/>
    </font>
    <font>
      <sz val="12"/>
      <color indexed="8"/>
      <name val="Calibri"/>
      <family val="2"/>
      <scheme val="minor"/>
    </font>
    <font>
      <b/>
      <i/>
      <sz val="8"/>
      <color theme="0"/>
      <name val="Calibri"/>
      <family val="2"/>
      <scheme val="minor"/>
    </font>
    <font>
      <i/>
      <sz val="10"/>
      <name val="Calibri"/>
      <family val="2"/>
      <scheme val="minor"/>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color rgb="FFFF0000"/>
      <name val="Arial"/>
      <family val="2"/>
    </font>
    <font>
      <i/>
      <sz val="10"/>
      <color rgb="FFFF0000"/>
      <name val="Calibri"/>
      <family val="2"/>
      <scheme val="minor"/>
    </font>
    <font>
      <b/>
      <sz val="16"/>
      <name val="Calibri"/>
      <family val="2"/>
      <scheme val="minor"/>
    </font>
    <font>
      <b/>
      <i/>
      <sz val="10"/>
      <color theme="0"/>
      <name val="Calibri"/>
      <family val="2"/>
      <scheme val="minor"/>
    </font>
    <font>
      <sz val="11"/>
      <name val="Calibri"/>
      <family val="2"/>
      <scheme val="minor"/>
    </font>
    <font>
      <b/>
      <sz val="11"/>
      <color rgb="FFFF0000"/>
      <name val="Calibri"/>
      <family val="2"/>
      <scheme val="minor"/>
    </font>
    <font>
      <b/>
      <sz val="12"/>
      <color theme="1"/>
      <name val="Calibri"/>
      <family val="2"/>
      <scheme val="minor"/>
    </font>
    <font>
      <b/>
      <sz val="12"/>
      <color rgb="FFFF0000"/>
      <name val="Calibri"/>
      <family val="2"/>
      <scheme val="minor"/>
    </font>
    <font>
      <b/>
      <sz val="12"/>
      <color indexed="8"/>
      <name val="Calibri"/>
      <family val="2"/>
      <scheme val="minor"/>
    </font>
    <font>
      <b/>
      <vertAlign val="superscript"/>
      <sz val="12"/>
      <name val="Calibri"/>
      <family val="2"/>
      <scheme val="minor"/>
    </font>
    <font>
      <b/>
      <sz val="14"/>
      <name val="Arial"/>
      <family val="2"/>
    </font>
    <font>
      <vertAlign val="superscript"/>
      <sz val="12"/>
      <color theme="1"/>
      <name val="Calibri"/>
      <family val="2"/>
      <scheme val="minor"/>
    </font>
    <font>
      <b/>
      <i/>
      <sz val="10"/>
      <color theme="1"/>
      <name val="Calibri"/>
      <family val="2"/>
      <scheme val="minor"/>
    </font>
    <font>
      <vertAlign val="superscript"/>
      <sz val="10"/>
      <name val="Calibri"/>
      <family val="2"/>
      <scheme val="minor"/>
    </font>
    <font>
      <sz val="10"/>
      <color theme="1"/>
      <name val="Arial"/>
      <family val="2"/>
    </font>
    <font>
      <sz val="10"/>
      <name val="Times New Roman"/>
      <family val="1"/>
    </font>
    <font>
      <sz val="10"/>
      <color theme="3" tint="0.39997558519241921"/>
      <name val="Arial"/>
      <family val="2"/>
    </font>
    <font>
      <sz val="10"/>
      <color theme="3" tint="-0.249977111117893"/>
      <name val="Arial"/>
      <family val="2"/>
    </font>
    <font>
      <sz val="10"/>
      <color theme="6" tint="-0.249977111117893"/>
      <name val="Arial"/>
      <family val="2"/>
    </font>
    <font>
      <vertAlign val="superscript"/>
      <sz val="10"/>
      <color theme="1"/>
      <name val="Arial"/>
      <family val="2"/>
    </font>
    <font>
      <sz val="10"/>
      <color theme="6" tint="-0.499984740745262"/>
      <name val="Arial"/>
      <family val="2"/>
    </font>
    <font>
      <b/>
      <vertAlign val="subscript"/>
      <sz val="12"/>
      <name val="Calibri"/>
      <family val="2"/>
      <scheme val="minor"/>
    </font>
    <font>
      <b/>
      <sz val="12"/>
      <color rgb="FF0070C0"/>
      <name val="Calibri"/>
      <family val="2"/>
      <scheme val="minor"/>
    </font>
    <font>
      <vertAlign val="subscript"/>
      <sz val="12"/>
      <color theme="1"/>
      <name val="Calibri"/>
      <family val="2"/>
      <scheme val="minor"/>
    </font>
    <font>
      <vertAlign val="superscript"/>
      <sz val="12"/>
      <name val="Calibri"/>
      <family val="2"/>
      <scheme val="minor"/>
    </font>
    <font>
      <sz val="12"/>
      <color theme="0"/>
      <name val="Calibri"/>
      <family val="2"/>
      <scheme val="minor"/>
    </font>
    <font>
      <b/>
      <sz val="12"/>
      <color theme="0"/>
      <name val="Calibri"/>
      <family val="2"/>
      <scheme val="minor"/>
    </font>
    <font>
      <vertAlign val="subscript"/>
      <sz val="12"/>
      <name val="Calibri"/>
      <family val="2"/>
      <scheme val="minor"/>
    </font>
    <font>
      <vertAlign val="subscript"/>
      <sz val="10"/>
      <color theme="1"/>
      <name val="Arial"/>
      <family val="2"/>
    </font>
  </fonts>
  <fills count="31">
    <fill>
      <patternFill patternType="none"/>
    </fill>
    <fill>
      <patternFill patternType="gray125"/>
    </fill>
    <fill>
      <patternFill patternType="solid">
        <fgColor indexed="4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3" tint="0.7999816888943144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rgb="FFECF5AB"/>
        <bgColor indexed="64"/>
      </patternFill>
    </fill>
  </fills>
  <borders count="46">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s>
  <cellStyleXfs count="44">
    <xf numFmtId="0" fontId="0" fillId="0" borderId="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9" fillId="13"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20" borderId="0" applyNumberFormat="0" applyBorder="0" applyAlignment="0" applyProtection="0"/>
    <xf numFmtId="0" fontId="20" fillId="0" borderId="0" applyNumberFormat="0" applyFill="0" applyBorder="0" applyAlignment="0" applyProtection="0"/>
    <xf numFmtId="0" fontId="21" fillId="21" borderId="16" applyNumberFormat="0" applyAlignment="0" applyProtection="0"/>
    <xf numFmtId="0" fontId="22" fillId="0" borderId="17" applyNumberFormat="0" applyFill="0" applyAlignment="0" applyProtection="0"/>
    <xf numFmtId="0" fontId="2" fillId="22" borderId="18" applyNumberFormat="0" applyFont="0" applyAlignment="0" applyProtection="0"/>
    <xf numFmtId="0" fontId="23" fillId="8" borderId="16" applyNumberFormat="0" applyAlignment="0" applyProtection="0"/>
    <xf numFmtId="0" fontId="24" fillId="4" borderId="0" applyNumberFormat="0" applyBorder="0" applyAlignment="0" applyProtection="0"/>
    <xf numFmtId="0" fontId="25" fillId="23" borderId="0" applyNumberFormat="0" applyBorder="0" applyAlignment="0" applyProtection="0"/>
    <xf numFmtId="0" fontId="26" fillId="5" borderId="0" applyNumberFormat="0" applyBorder="0" applyAlignment="0" applyProtection="0"/>
    <xf numFmtId="0" fontId="27" fillId="21" borderId="19" applyNumberFormat="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20" applyNumberFormat="0" applyFill="0" applyAlignment="0" applyProtection="0"/>
    <xf numFmtId="0" fontId="31" fillId="0" borderId="21" applyNumberFormat="0" applyFill="0" applyAlignment="0" applyProtection="0"/>
    <xf numFmtId="0" fontId="32" fillId="0" borderId="22" applyNumberFormat="0" applyFill="0" applyAlignment="0" applyProtection="0"/>
    <xf numFmtId="0" fontId="32" fillId="0" borderId="0" applyNumberFormat="0" applyFill="0" applyBorder="0" applyAlignment="0" applyProtection="0"/>
    <xf numFmtId="0" fontId="33" fillId="0" borderId="23" applyNumberFormat="0" applyFill="0" applyAlignment="0" applyProtection="0"/>
    <xf numFmtId="0" fontId="34" fillId="24" borderId="24" applyNumberFormat="0" applyAlignment="0" applyProtection="0"/>
    <xf numFmtId="168" fontId="50" fillId="0" borderId="0" applyFill="0" applyBorder="0" applyAlignment="0" applyProtection="0"/>
    <xf numFmtId="0" fontId="2" fillId="0" borderId="0"/>
  </cellStyleXfs>
  <cellXfs count="279">
    <xf numFmtId="0" fontId="0" fillId="0" borderId="0" xfId="0"/>
    <xf numFmtId="2" fontId="0" fillId="0" borderId="0" xfId="0" applyNumberFormat="1" applyAlignment="1">
      <alignment horizontal="center"/>
    </xf>
    <xf numFmtId="0" fontId="0" fillId="0" borderId="0" xfId="0" applyAlignment="1">
      <alignment horizontal="center"/>
    </xf>
    <xf numFmtId="0" fontId="0" fillId="0" borderId="0" xfId="0" applyAlignment="1">
      <alignment horizontal="left"/>
    </xf>
    <xf numFmtId="0" fontId="0" fillId="0" borderId="0" xfId="0" applyBorder="1" applyAlignment="1">
      <alignment vertical="center"/>
    </xf>
    <xf numFmtId="0" fontId="0" fillId="0" borderId="0" xfId="0" applyFill="1"/>
    <xf numFmtId="0" fontId="0" fillId="0" borderId="0" xfId="0" applyFill="1" applyBorder="1"/>
    <xf numFmtId="1" fontId="0" fillId="0" borderId="0" xfId="0" applyNumberFormat="1" applyAlignment="1">
      <alignment horizontal="center"/>
    </xf>
    <xf numFmtId="0" fontId="0" fillId="0" borderId="0" xfId="0" applyAlignment="1">
      <alignment vertical="center"/>
    </xf>
    <xf numFmtId="0" fontId="4" fillId="0" borderId="0" xfId="0" applyFont="1" applyAlignment="1">
      <alignment horizontal="left" indent="1"/>
    </xf>
    <xf numFmtId="2" fontId="0" fillId="0" borderId="0" xfId="0" quotePrefix="1" applyNumberFormat="1" applyAlignment="1"/>
    <xf numFmtId="0" fontId="0" fillId="0" borderId="0" xfId="0" applyAlignment="1">
      <alignment horizontal="right"/>
    </xf>
    <xf numFmtId="0" fontId="2" fillId="0" borderId="0" xfId="0" applyFont="1" applyBorder="1"/>
    <xf numFmtId="2" fontId="2" fillId="0" borderId="0" xfId="0" applyNumberFormat="1" applyFont="1" applyBorder="1" applyAlignment="1">
      <alignment horizontal="center"/>
    </xf>
    <xf numFmtId="0" fontId="0" fillId="0" borderId="0" xfId="0" applyBorder="1"/>
    <xf numFmtId="2" fontId="0" fillId="0" borderId="0" xfId="0" applyNumberFormat="1"/>
    <xf numFmtId="0" fontId="2" fillId="0" borderId="0" xfId="0" applyFont="1"/>
    <xf numFmtId="0" fontId="2" fillId="0" borderId="0" xfId="0" applyFont="1" applyAlignment="1">
      <alignment horizontal="center"/>
    </xf>
    <xf numFmtId="0" fontId="2" fillId="0" borderId="0" xfId="0" applyFont="1" applyAlignment="1">
      <alignment horizontal="right"/>
    </xf>
    <xf numFmtId="1" fontId="0" fillId="0" borderId="0" xfId="0" applyNumberFormat="1"/>
    <xf numFmtId="0" fontId="2" fillId="0" borderId="0" xfId="0" applyFont="1" applyAlignment="1"/>
    <xf numFmtId="0" fontId="0" fillId="0" borderId="1" xfId="0" applyBorder="1" applyAlignment="1">
      <alignment horizontal="center"/>
    </xf>
    <xf numFmtId="1" fontId="0" fillId="0" borderId="2" xfId="0" applyNumberFormat="1" applyBorder="1" applyAlignment="1">
      <alignment horizontal="center"/>
    </xf>
    <xf numFmtId="0" fontId="0" fillId="0" borderId="1" xfId="0" applyFill="1" applyBorder="1" applyAlignment="1">
      <alignment horizontal="center"/>
    </xf>
    <xf numFmtId="0" fontId="0" fillId="0" borderId="3" xfId="0" applyFill="1" applyBorder="1" applyAlignment="1">
      <alignment horizontal="center"/>
    </xf>
    <xf numFmtId="1" fontId="0" fillId="0" borderId="4" xfId="0" applyNumberFormat="1" applyBorder="1" applyAlignment="1">
      <alignment horizontal="center"/>
    </xf>
    <xf numFmtId="0" fontId="2" fillId="0" borderId="5" xfId="0" applyFont="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2" fillId="0" borderId="4" xfId="0" applyFont="1" applyBorder="1" applyAlignment="1">
      <alignment horizontal="center"/>
    </xf>
    <xf numFmtId="0" fontId="0" fillId="0" borderId="5" xfId="0" applyBorder="1" applyAlignment="1">
      <alignment horizontal="center"/>
    </xf>
    <xf numFmtId="0" fontId="0" fillId="0" borderId="8" xfId="0" applyBorder="1" applyAlignment="1">
      <alignment horizontal="center"/>
    </xf>
    <xf numFmtId="1" fontId="0" fillId="0" borderId="9" xfId="0" applyNumberFormat="1" applyBorder="1" applyAlignment="1">
      <alignment horizontal="center"/>
    </xf>
    <xf numFmtId="1" fontId="0" fillId="0" borderId="10" xfId="0" applyNumberFormat="1" applyBorder="1" applyAlignment="1">
      <alignment horizontal="center"/>
    </xf>
    <xf numFmtId="0" fontId="2" fillId="0" borderId="11" xfId="0" applyFont="1" applyBorder="1" applyAlignment="1">
      <alignment horizontal="right"/>
    </xf>
    <xf numFmtId="0" fontId="2" fillId="0" borderId="9" xfId="0" applyFont="1" applyBorder="1" applyAlignment="1">
      <alignment horizontal="right"/>
    </xf>
    <xf numFmtId="0" fontId="2" fillId="0" borderId="10" xfId="0" applyFont="1" applyBorder="1" applyAlignment="1">
      <alignment horizontal="right"/>
    </xf>
    <xf numFmtId="1" fontId="0" fillId="0" borderId="11" xfId="0" applyNumberFormat="1" applyBorder="1" applyAlignment="1">
      <alignment horizontal="center"/>
    </xf>
    <xf numFmtId="0" fontId="2" fillId="0" borderId="0" xfId="0" applyFont="1" applyAlignment="1">
      <alignment wrapText="1"/>
    </xf>
    <xf numFmtId="0" fontId="1" fillId="0" borderId="0" xfId="0" applyFont="1"/>
    <xf numFmtId="0" fontId="2" fillId="2" borderId="0" xfId="0" applyFont="1" applyFill="1"/>
    <xf numFmtId="0" fontId="1" fillId="0" borderId="6" xfId="0" applyFont="1" applyBorder="1"/>
    <xf numFmtId="0" fontId="1" fillId="0" borderId="12" xfId="0" applyFont="1" applyBorder="1"/>
    <xf numFmtId="0" fontId="2" fillId="0" borderId="7" xfId="0" applyFont="1" applyBorder="1"/>
    <xf numFmtId="0" fontId="2" fillId="0" borderId="1" xfId="0" applyFont="1" applyBorder="1"/>
    <xf numFmtId="0" fontId="2" fillId="0" borderId="2" xfId="0" applyFont="1" applyBorder="1"/>
    <xf numFmtId="165" fontId="2" fillId="0" borderId="0" xfId="0" applyNumberFormat="1" applyFont="1" applyBorder="1" applyAlignment="1">
      <alignment horizontal="center"/>
    </xf>
    <xf numFmtId="0" fontId="2" fillId="0" borderId="3" xfId="0" applyFont="1" applyBorder="1"/>
    <xf numFmtId="2" fontId="2" fillId="0" borderId="13" xfId="0" applyNumberFormat="1" applyFont="1" applyBorder="1" applyAlignment="1">
      <alignment horizontal="center"/>
    </xf>
    <xf numFmtId="0" fontId="2" fillId="0" borderId="4" xfId="0" applyFont="1" applyBorder="1"/>
    <xf numFmtId="2" fontId="2" fillId="0" borderId="0" xfId="0" applyNumberFormat="1" applyFont="1"/>
    <xf numFmtId="0" fontId="0" fillId="0" borderId="12" xfId="0" applyBorder="1"/>
    <xf numFmtId="0" fontId="0" fillId="0" borderId="7" xfId="0" applyBorder="1"/>
    <xf numFmtId="0" fontId="0" fillId="0" borderId="1" xfId="0" applyBorder="1"/>
    <xf numFmtId="0" fontId="0" fillId="0" borderId="2" xfId="0" applyBorder="1"/>
    <xf numFmtId="1" fontId="0" fillId="0" borderId="0" xfId="0" applyNumberFormat="1" applyBorder="1"/>
    <xf numFmtId="0" fontId="0" fillId="0" borderId="0" xfId="0" applyBorder="1" applyAlignment="1">
      <alignment horizontal="center"/>
    </xf>
    <xf numFmtId="0" fontId="0" fillId="0" borderId="2" xfId="0" applyFill="1" applyBorder="1"/>
    <xf numFmtId="0" fontId="0" fillId="0" borderId="3" xfId="0" applyBorder="1"/>
    <xf numFmtId="0" fontId="0" fillId="0" borderId="13" xfId="0" applyBorder="1" applyAlignment="1">
      <alignment horizontal="center"/>
    </xf>
    <xf numFmtId="0" fontId="0" fillId="0" borderId="13" xfId="0" applyFill="1" applyBorder="1"/>
    <xf numFmtId="0" fontId="0" fillId="0" borderId="13" xfId="0" applyBorder="1"/>
    <xf numFmtId="0" fontId="0" fillId="0" borderId="4" xfId="0" applyFill="1" applyBorder="1"/>
    <xf numFmtId="0" fontId="2" fillId="0" borderId="0" xfId="0" applyFont="1" applyFill="1" applyBorder="1"/>
    <xf numFmtId="0" fontId="2" fillId="0" borderId="13" xfId="0" applyFont="1" applyFill="1" applyBorder="1"/>
    <xf numFmtId="0" fontId="5" fillId="0" borderId="0" xfId="0" applyFont="1"/>
    <xf numFmtId="0" fontId="5" fillId="0" borderId="0" xfId="0" applyFont="1" applyBorder="1"/>
    <xf numFmtId="0" fontId="11" fillId="0" borderId="0" xfId="0" applyFont="1" applyBorder="1" applyAlignment="1">
      <alignment horizontal="center"/>
    </xf>
    <xf numFmtId="0" fontId="12" fillId="0" borderId="0" xfId="0" applyFont="1" applyFill="1" applyBorder="1"/>
    <xf numFmtId="0" fontId="12" fillId="0" borderId="0" xfId="0" applyFont="1" applyFill="1" applyBorder="1" applyAlignment="1">
      <alignment horizontal="center"/>
    </xf>
    <xf numFmtId="0" fontId="14" fillId="0" borderId="0" xfId="0" applyFont="1" applyFill="1" applyBorder="1"/>
    <xf numFmtId="0" fontId="15" fillId="0" borderId="0" xfId="0" applyFont="1" applyFill="1" applyBorder="1"/>
    <xf numFmtId="0" fontId="17" fillId="0" borderId="0" xfId="0" applyFont="1" applyBorder="1"/>
    <xf numFmtId="0" fontId="17" fillId="0" borderId="0" xfId="0" applyFont="1"/>
    <xf numFmtId="0" fontId="12" fillId="26" borderId="0" xfId="0" applyFont="1" applyFill="1" applyBorder="1"/>
    <xf numFmtId="0" fontId="12" fillId="26" borderId="0" xfId="0" applyFont="1" applyFill="1" applyBorder="1" applyAlignment="1">
      <alignment horizontal="left" vertical="center"/>
    </xf>
    <xf numFmtId="0" fontId="5" fillId="0" borderId="0" xfId="0" applyFont="1" applyFill="1"/>
    <xf numFmtId="0" fontId="12" fillId="0" borderId="0" xfId="0" applyFont="1" applyBorder="1"/>
    <xf numFmtId="0" fontId="12" fillId="0" borderId="0" xfId="0" applyFont="1"/>
    <xf numFmtId="0" fontId="12" fillId="0" borderId="0" xfId="0" applyFont="1" applyBorder="1" applyAlignment="1">
      <alignment horizontal="right"/>
    </xf>
    <xf numFmtId="0" fontId="12" fillId="0" borderId="0" xfId="0" applyFont="1" applyBorder="1" applyAlignment="1"/>
    <xf numFmtId="0" fontId="13" fillId="26" borderId="13" xfId="0" applyFont="1" applyFill="1" applyBorder="1" applyAlignment="1">
      <alignment horizontal="left" vertical="center"/>
    </xf>
    <xf numFmtId="0" fontId="39" fillId="0" borderId="0" xfId="0" applyFont="1" applyBorder="1"/>
    <xf numFmtId="0" fontId="11" fillId="0" borderId="0" xfId="0" applyFont="1" applyBorder="1"/>
    <xf numFmtId="4" fontId="14" fillId="0" borderId="0" xfId="0" applyNumberFormat="1" applyFont="1" applyFill="1" applyBorder="1"/>
    <xf numFmtId="0" fontId="13" fillId="0" borderId="0" xfId="0" applyFont="1" applyBorder="1"/>
    <xf numFmtId="0" fontId="13" fillId="26" borderId="13" xfId="0" applyFont="1" applyFill="1" applyBorder="1"/>
    <xf numFmtId="0" fontId="12" fillId="0" borderId="0" xfId="0" applyFont="1" applyBorder="1" applyAlignment="1">
      <alignment horizontal="left"/>
    </xf>
    <xf numFmtId="0" fontId="14" fillId="0" borderId="0" xfId="0" applyFont="1" applyBorder="1"/>
    <xf numFmtId="3" fontId="14" fillId="0" borderId="0" xfId="0" applyNumberFormat="1" applyFont="1" applyBorder="1"/>
    <xf numFmtId="2" fontId="11" fillId="26" borderId="0" xfId="0" applyNumberFormat="1" applyFont="1" applyFill="1" applyBorder="1" applyAlignment="1">
      <alignment horizontal="center"/>
    </xf>
    <xf numFmtId="2" fontId="42" fillId="26" borderId="13" xfId="0" applyNumberFormat="1" applyFont="1" applyFill="1" applyBorder="1" applyAlignment="1">
      <alignment horizontal="center"/>
    </xf>
    <xf numFmtId="164" fontId="11" fillId="26" borderId="0" xfId="0" applyNumberFormat="1" applyFont="1" applyFill="1" applyBorder="1" applyAlignment="1">
      <alignment horizontal="right"/>
    </xf>
    <xf numFmtId="164" fontId="11" fillId="26" borderId="13" xfId="0" applyNumberFormat="1" applyFont="1" applyFill="1" applyBorder="1" applyAlignment="1">
      <alignment horizontal="right"/>
    </xf>
    <xf numFmtId="0" fontId="12" fillId="0" borderId="26" xfId="0" applyFont="1" applyBorder="1" applyAlignment="1">
      <alignment horizontal="left"/>
    </xf>
    <xf numFmtId="0" fontId="12" fillId="0" borderId="27" xfId="0" applyFont="1" applyBorder="1"/>
    <xf numFmtId="0" fontId="9" fillId="0" borderId="26" xfId="0" applyFont="1" applyBorder="1" applyAlignment="1">
      <alignment horizontal="left"/>
    </xf>
    <xf numFmtId="0" fontId="5" fillId="0" borderId="27" xfId="0" applyFont="1" applyBorder="1"/>
    <xf numFmtId="0" fontId="5" fillId="0" borderId="26" xfId="0" applyFont="1" applyBorder="1"/>
    <xf numFmtId="0" fontId="14" fillId="0" borderId="27" xfId="0" applyFont="1" applyFill="1" applyBorder="1"/>
    <xf numFmtId="0" fontId="12" fillId="0" borderId="26" xfId="0" applyFont="1" applyBorder="1"/>
    <xf numFmtId="0" fontId="12" fillId="0" borderId="26" xfId="0" applyFont="1" applyFill="1" applyBorder="1"/>
    <xf numFmtId="4" fontId="14" fillId="26" borderId="27" xfId="0" applyNumberFormat="1" applyFont="1" applyFill="1" applyBorder="1"/>
    <xf numFmtId="4" fontId="14" fillId="26" borderId="29" xfId="0" applyNumberFormat="1" applyFont="1" applyFill="1" applyBorder="1"/>
    <xf numFmtId="4" fontId="12" fillId="0" borderId="0" xfId="0" applyNumberFormat="1" applyFont="1" applyBorder="1"/>
    <xf numFmtId="4" fontId="14" fillId="0" borderId="27" xfId="0" applyNumberFormat="1" applyFont="1" applyFill="1" applyBorder="1"/>
    <xf numFmtId="4" fontId="11" fillId="0" borderId="0" xfId="0" applyNumberFormat="1" applyFont="1" applyBorder="1"/>
    <xf numFmtId="4" fontId="41" fillId="0" borderId="0" xfId="0" applyNumberFormat="1" applyFont="1" applyFill="1" applyBorder="1"/>
    <xf numFmtId="4" fontId="41" fillId="0" borderId="27" xfId="0" applyNumberFormat="1" applyFont="1" applyFill="1" applyBorder="1"/>
    <xf numFmtId="4" fontId="42" fillId="0" borderId="0" xfId="0" applyNumberFormat="1" applyFont="1" applyBorder="1"/>
    <xf numFmtId="0" fontId="8" fillId="0" borderId="26" xfId="0" applyFont="1" applyBorder="1"/>
    <xf numFmtId="4" fontId="16" fillId="0" borderId="0" xfId="0" applyNumberFormat="1" applyFont="1" applyFill="1" applyBorder="1"/>
    <xf numFmtId="4" fontId="38" fillId="0" borderId="0" xfId="0" applyNumberFormat="1" applyFont="1" applyFill="1" applyBorder="1"/>
    <xf numFmtId="0" fontId="36" fillId="0" borderId="30" xfId="0" applyFont="1" applyBorder="1"/>
    <xf numFmtId="0" fontId="36" fillId="0" borderId="31" xfId="0" applyFont="1" applyBorder="1"/>
    <xf numFmtId="0" fontId="17" fillId="0" borderId="31" xfId="0" applyFont="1" applyBorder="1"/>
    <xf numFmtId="0" fontId="5" fillId="26" borderId="0" xfId="0" applyFont="1" applyFill="1"/>
    <xf numFmtId="0" fontId="17" fillId="26" borderId="0" xfId="0" applyFont="1" applyFill="1" applyBorder="1"/>
    <xf numFmtId="0" fontId="17" fillId="26" borderId="0" xfId="0" applyFont="1" applyFill="1"/>
    <xf numFmtId="0" fontId="12" fillId="26" borderId="0" xfId="0" applyFont="1" applyFill="1"/>
    <xf numFmtId="0" fontId="36" fillId="26" borderId="0" xfId="0" applyFont="1" applyFill="1" applyBorder="1"/>
    <xf numFmtId="0" fontId="17" fillId="26" borderId="0" xfId="0" applyFont="1" applyFill="1" applyAlignment="1">
      <alignment horizontal="right"/>
    </xf>
    <xf numFmtId="4" fontId="10" fillId="26" borderId="0" xfId="0" applyNumberFormat="1" applyFont="1" applyFill="1"/>
    <xf numFmtId="15" fontId="5" fillId="26" borderId="0" xfId="0" applyNumberFormat="1" applyFont="1" applyFill="1" applyAlignment="1">
      <alignment horizontal="right"/>
    </xf>
    <xf numFmtId="0" fontId="5" fillId="0" borderId="0" xfId="0" applyFont="1" applyFill="1" applyBorder="1" applyAlignment="1">
      <alignment horizontal="left"/>
    </xf>
    <xf numFmtId="4" fontId="12" fillId="0" borderId="27" xfId="0" applyNumberFormat="1" applyFont="1" applyBorder="1"/>
    <xf numFmtId="4" fontId="42" fillId="0" borderId="27" xfId="0" applyNumberFormat="1" applyFont="1" applyBorder="1"/>
    <xf numFmtId="0" fontId="5" fillId="0" borderId="27" xfId="0" applyFont="1" applyFill="1" applyBorder="1"/>
    <xf numFmtId="166" fontId="5" fillId="0" borderId="27" xfId="0" applyNumberFormat="1" applyFont="1" applyFill="1" applyBorder="1"/>
    <xf numFmtId="4" fontId="47" fillId="0" borderId="0" xfId="0" applyNumberFormat="1" applyFont="1" applyFill="1" applyBorder="1"/>
    <xf numFmtId="164" fontId="11" fillId="26" borderId="3" xfId="0" applyNumberFormat="1" applyFont="1" applyFill="1" applyBorder="1" applyAlignment="1">
      <alignment horizontal="right"/>
    </xf>
    <xf numFmtId="0" fontId="5" fillId="26" borderId="1" xfId="0" applyFont="1" applyFill="1" applyBorder="1" applyAlignment="1">
      <alignment horizontal="left"/>
    </xf>
    <xf numFmtId="0" fontId="5" fillId="26" borderId="27" xfId="0" applyFont="1" applyFill="1" applyBorder="1"/>
    <xf numFmtId="0" fontId="5" fillId="26" borderId="3" xfId="0" applyFont="1" applyFill="1" applyBorder="1" applyAlignment="1">
      <alignment horizontal="left"/>
    </xf>
    <xf numFmtId="0" fontId="5" fillId="26" borderId="29" xfId="0" applyFont="1" applyFill="1" applyBorder="1"/>
    <xf numFmtId="166" fontId="5" fillId="26" borderId="0" xfId="0" applyNumberFormat="1" applyFont="1" applyFill="1" applyBorder="1" applyAlignment="1">
      <alignment horizontal="center"/>
    </xf>
    <xf numFmtId="2" fontId="5" fillId="26" borderId="27" xfId="0" applyNumberFormat="1" applyFont="1" applyFill="1" applyBorder="1" applyAlignment="1">
      <alignment horizontal="center"/>
    </xf>
    <xf numFmtId="166" fontId="5" fillId="26" borderId="13" xfId="0" applyNumberFormat="1" applyFont="1" applyFill="1" applyBorder="1" applyAlignment="1">
      <alignment horizontal="center"/>
    </xf>
    <xf numFmtId="0" fontId="14" fillId="26" borderId="13" xfId="0" applyFont="1" applyFill="1" applyBorder="1" applyAlignment="1">
      <alignment horizontal="left" vertical="center"/>
    </xf>
    <xf numFmtId="0" fontId="12" fillId="26" borderId="34" xfId="0" applyFont="1" applyFill="1" applyBorder="1"/>
    <xf numFmtId="2" fontId="11" fillId="26" borderId="34" xfId="0" applyNumberFormat="1" applyFont="1" applyFill="1" applyBorder="1" applyAlignment="1">
      <alignment horizontal="center"/>
    </xf>
    <xf numFmtId="4" fontId="12" fillId="25" borderId="37" xfId="0" applyNumberFormat="1" applyFont="1" applyFill="1" applyBorder="1" applyAlignment="1">
      <alignment horizontal="right"/>
    </xf>
    <xf numFmtId="164" fontId="11" fillId="26" borderId="34" xfId="0" applyNumberFormat="1" applyFont="1" applyFill="1" applyBorder="1" applyAlignment="1">
      <alignment horizontal="right"/>
    </xf>
    <xf numFmtId="4" fontId="14" fillId="26" borderId="35" xfId="0" applyNumberFormat="1" applyFont="1" applyFill="1" applyBorder="1"/>
    <xf numFmtId="4" fontId="12" fillId="25" borderId="36" xfId="0" applyNumberFormat="1" applyFont="1" applyFill="1" applyBorder="1" applyAlignment="1">
      <alignment horizontal="right"/>
    </xf>
    <xf numFmtId="0" fontId="11" fillId="26" borderId="38" xfId="0" applyFont="1" applyFill="1" applyBorder="1"/>
    <xf numFmtId="0" fontId="13" fillId="26" borderId="39" xfId="0" applyFont="1" applyFill="1" applyBorder="1"/>
    <xf numFmtId="0" fontId="12" fillId="26" borderId="39" xfId="0" applyFont="1" applyFill="1" applyBorder="1"/>
    <xf numFmtId="2" fontId="11" fillId="26" borderId="39" xfId="0" applyNumberFormat="1" applyFont="1" applyFill="1" applyBorder="1" applyAlignment="1">
      <alignment horizontal="center"/>
    </xf>
    <xf numFmtId="164" fontId="11" fillId="26" borderId="40" xfId="0" applyNumberFormat="1" applyFont="1" applyFill="1" applyBorder="1" applyAlignment="1">
      <alignment horizontal="right"/>
    </xf>
    <xf numFmtId="4" fontId="14" fillId="26" borderId="41" xfId="0" applyNumberFormat="1" applyFont="1" applyFill="1" applyBorder="1"/>
    <xf numFmtId="0" fontId="12" fillId="26" borderId="43" xfId="0" applyFont="1" applyFill="1" applyBorder="1"/>
    <xf numFmtId="2" fontId="11" fillId="26" borderId="43" xfId="0" applyNumberFormat="1" applyFont="1" applyFill="1" applyBorder="1" applyAlignment="1">
      <alignment horizontal="center"/>
    </xf>
    <xf numFmtId="0" fontId="43" fillId="26" borderId="30" xfId="0" applyFont="1" applyFill="1" applyBorder="1" applyAlignment="1">
      <alignment horizontal="left" vertical="center"/>
    </xf>
    <xf numFmtId="0" fontId="15" fillId="26" borderId="31" xfId="0" applyFont="1" applyFill="1" applyBorder="1" applyAlignment="1">
      <alignment vertical="center"/>
    </xf>
    <xf numFmtId="0" fontId="15" fillId="26" borderId="31" xfId="0" applyFont="1" applyFill="1" applyBorder="1"/>
    <xf numFmtId="0" fontId="43" fillId="26" borderId="31" xfId="0" applyFont="1" applyFill="1" applyBorder="1" applyAlignment="1">
      <alignment horizontal="center"/>
    </xf>
    <xf numFmtId="4" fontId="12" fillId="26" borderId="25" xfId="0" applyNumberFormat="1" applyFont="1" applyFill="1" applyBorder="1" applyAlignment="1">
      <alignment horizontal="right"/>
    </xf>
    <xf numFmtId="164" fontId="11" fillId="26" borderId="31" xfId="0" applyNumberFormat="1" applyFont="1" applyFill="1" applyBorder="1" applyAlignment="1">
      <alignment horizontal="right"/>
    </xf>
    <xf numFmtId="4" fontId="14" fillId="26" borderId="32" xfId="0" applyNumberFormat="1" applyFont="1" applyFill="1" applyBorder="1"/>
    <xf numFmtId="0" fontId="6" fillId="0" borderId="33" xfId="0" applyFont="1" applyBorder="1" applyAlignment="1">
      <alignment horizontal="left"/>
    </xf>
    <xf numFmtId="0" fontId="6" fillId="0" borderId="34" xfId="0" applyFont="1" applyFill="1" applyBorder="1" applyAlignment="1"/>
    <xf numFmtId="0" fontId="5" fillId="0" borderId="34" xfId="0" applyFont="1" applyBorder="1"/>
    <xf numFmtId="0" fontId="5" fillId="0" borderId="35" xfId="0" applyFont="1" applyBorder="1"/>
    <xf numFmtId="0" fontId="5" fillId="26" borderId="44" xfId="0" applyFont="1" applyFill="1" applyBorder="1" applyAlignment="1">
      <alignment horizontal="left"/>
    </xf>
    <xf numFmtId="0" fontId="5" fillId="26" borderId="43" xfId="0" applyFont="1" applyFill="1" applyBorder="1" applyAlignment="1">
      <alignment horizontal="center"/>
    </xf>
    <xf numFmtId="0" fontId="5" fillId="26" borderId="45" xfId="0" applyFont="1" applyFill="1" applyBorder="1" applyAlignment="1">
      <alignment horizontal="center"/>
    </xf>
    <xf numFmtId="0" fontId="2" fillId="0" borderId="0" xfId="0" applyFont="1" applyAlignment="1">
      <alignment vertical="center"/>
    </xf>
    <xf numFmtId="0" fontId="0" fillId="0" borderId="0" xfId="0" applyAlignment="1">
      <alignment vertical="center" wrapText="1"/>
    </xf>
    <xf numFmtId="0" fontId="2" fillId="0" borderId="0" xfId="0" applyFont="1" applyAlignment="1">
      <alignment vertical="center" wrapText="1"/>
    </xf>
    <xf numFmtId="0" fontId="1" fillId="0" borderId="0" xfId="0" applyFont="1" applyAlignment="1">
      <alignmen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45" fillId="0" borderId="0" xfId="0" applyFont="1" applyAlignment="1">
      <alignment vertical="center" wrapText="1"/>
    </xf>
    <xf numFmtId="0" fontId="1" fillId="0" borderId="0" xfId="0" applyFont="1" applyAlignment="1">
      <alignment horizontal="center"/>
    </xf>
    <xf numFmtId="169" fontId="0" fillId="0" borderId="0" xfId="42" applyNumberFormat="1" applyFont="1" applyFill="1" applyBorder="1" applyAlignment="1" applyProtection="1"/>
    <xf numFmtId="169" fontId="0" fillId="0" borderId="0" xfId="42" applyNumberFormat="1" applyFont="1" applyFill="1" applyBorder="1" applyAlignment="1" applyProtection="1">
      <alignment horizontal="center"/>
    </xf>
    <xf numFmtId="0" fontId="35" fillId="0" borderId="0" xfId="42" applyNumberFormat="1" applyFont="1" applyFill="1" applyBorder="1" applyAlignment="1" applyProtection="1">
      <alignment horizontal="center"/>
    </xf>
    <xf numFmtId="0" fontId="51" fillId="0" borderId="0" xfId="42" applyNumberFormat="1" applyFont="1" applyFill="1" applyBorder="1" applyAlignment="1" applyProtection="1">
      <alignment horizontal="center"/>
    </xf>
    <xf numFmtId="0" fontId="52" fillId="0" borderId="0" xfId="42" applyNumberFormat="1" applyFont="1" applyFill="1" applyBorder="1" applyAlignment="1" applyProtection="1">
      <alignment horizontal="center"/>
    </xf>
    <xf numFmtId="0" fontId="53" fillId="0" borderId="0" xfId="42" applyNumberFormat="1" applyFont="1" applyFill="1" applyBorder="1" applyAlignment="1" applyProtection="1">
      <alignment horizontal="center"/>
    </xf>
    <xf numFmtId="0" fontId="49" fillId="0" borderId="0" xfId="42" applyNumberFormat="1" applyFont="1" applyFill="1" applyBorder="1" applyAlignment="1" applyProtection="1">
      <alignment horizontal="center"/>
    </xf>
    <xf numFmtId="169" fontId="49" fillId="0" borderId="0" xfId="42" applyNumberFormat="1" applyFont="1" applyFill="1" applyBorder="1" applyAlignment="1" applyProtection="1"/>
    <xf numFmtId="169" fontId="55" fillId="0" borderId="0" xfId="42" applyNumberFormat="1" applyFont="1" applyFill="1" applyBorder="1" applyAlignment="1" applyProtection="1">
      <alignment horizontal="center"/>
    </xf>
    <xf numFmtId="0" fontId="35" fillId="0" borderId="36" xfId="43" applyFont="1" applyBorder="1" applyAlignment="1">
      <alignment horizontal="center"/>
    </xf>
    <xf numFmtId="0" fontId="52" fillId="0" borderId="36" xfId="43" applyFont="1" applyFill="1" applyBorder="1" applyAlignment="1">
      <alignment horizontal="center"/>
    </xf>
    <xf numFmtId="0" fontId="55" fillId="0" borderId="36" xfId="43" applyFont="1" applyFill="1" applyBorder="1" applyAlignment="1">
      <alignment horizontal="center"/>
    </xf>
    <xf numFmtId="0" fontId="49" fillId="0" borderId="36" xfId="43" applyFont="1" applyFill="1" applyBorder="1" applyAlignment="1">
      <alignment horizontal="center"/>
    </xf>
    <xf numFmtId="0" fontId="2" fillId="0" borderId="36" xfId="43" applyBorder="1" applyAlignment="1">
      <alignment horizontal="center"/>
    </xf>
    <xf numFmtId="0" fontId="2" fillId="0" borderId="36" xfId="43" applyFont="1" applyBorder="1" applyAlignment="1">
      <alignment horizontal="center"/>
    </xf>
    <xf numFmtId="169" fontId="35" fillId="0" borderId="0" xfId="42" applyNumberFormat="1" applyFont="1" applyFill="1" applyBorder="1" applyAlignment="1" applyProtection="1"/>
    <xf numFmtId="169" fontId="52" fillId="0" borderId="0" xfId="42" applyNumberFormat="1" applyFont="1" applyFill="1" applyBorder="1" applyAlignment="1" applyProtection="1"/>
    <xf numFmtId="0" fontId="49" fillId="0" borderId="36" xfId="43" applyFont="1" applyBorder="1" applyAlignment="1">
      <alignment horizontal="center"/>
    </xf>
    <xf numFmtId="0" fontId="35" fillId="28" borderId="36" xfId="43" applyFont="1" applyFill="1" applyBorder="1" applyAlignment="1">
      <alignment horizontal="center"/>
    </xf>
    <xf numFmtId="0" fontId="52" fillId="25" borderId="36" xfId="43" applyFont="1" applyFill="1" applyBorder="1" applyAlignment="1">
      <alignment horizontal="center"/>
    </xf>
    <xf numFmtId="0" fontId="55" fillId="29" borderId="36" xfId="43" applyFont="1" applyFill="1" applyBorder="1" applyAlignment="1">
      <alignment horizontal="center"/>
    </xf>
    <xf numFmtId="0" fontId="49" fillId="30" borderId="36" xfId="43" applyFont="1" applyFill="1" applyBorder="1" applyAlignment="1">
      <alignment horizontal="center"/>
    </xf>
    <xf numFmtId="169" fontId="45" fillId="0" borderId="0" xfId="42" applyNumberFormat="1" applyFont="1" applyFill="1" applyBorder="1" applyAlignment="1" applyProtection="1">
      <alignment vertical="center" wrapText="1"/>
    </xf>
    <xf numFmtId="169" fontId="35" fillId="0" borderId="0" xfId="42" applyNumberFormat="1" applyFont="1" applyFill="1" applyBorder="1" applyAlignment="1" applyProtection="1">
      <alignment horizontal="center"/>
    </xf>
    <xf numFmtId="169" fontId="0" fillId="0" borderId="44" xfId="42" applyNumberFormat="1" applyFont="1" applyFill="1" applyBorder="1" applyAlignment="1" applyProtection="1"/>
    <xf numFmtId="169" fontId="0" fillId="0" borderId="43" xfId="42" applyNumberFormat="1" applyFont="1" applyFill="1" applyBorder="1" applyAlignment="1" applyProtection="1"/>
    <xf numFmtId="169" fontId="0" fillId="0" borderId="43" xfId="42" applyNumberFormat="1" applyFont="1" applyFill="1" applyBorder="1" applyAlignment="1" applyProtection="1">
      <alignment horizontal="center"/>
    </xf>
    <xf numFmtId="169" fontId="0" fillId="0" borderId="7" xfId="42" applyNumberFormat="1" applyFont="1" applyFill="1" applyBorder="1" applyAlignment="1" applyProtection="1"/>
    <xf numFmtId="169" fontId="0" fillId="0" borderId="1" xfId="42" applyNumberFormat="1" applyFont="1" applyFill="1" applyBorder="1" applyAlignment="1" applyProtection="1"/>
    <xf numFmtId="169" fontId="0" fillId="0" borderId="2" xfId="42" applyNumberFormat="1" applyFont="1" applyFill="1" applyBorder="1" applyAlignment="1" applyProtection="1"/>
    <xf numFmtId="0" fontId="2" fillId="0" borderId="1" xfId="43" applyBorder="1" applyAlignment="1">
      <alignment horizontal="center"/>
    </xf>
    <xf numFmtId="0" fontId="49" fillId="0" borderId="1" xfId="42" applyNumberFormat="1" applyFont="1" applyFill="1" applyBorder="1" applyAlignment="1" applyProtection="1">
      <alignment horizontal="center"/>
    </xf>
    <xf numFmtId="169" fontId="0" fillId="0" borderId="3" xfId="42" applyNumberFormat="1" applyFont="1" applyFill="1" applyBorder="1" applyAlignment="1" applyProtection="1"/>
    <xf numFmtId="169" fontId="0" fillId="0" borderId="13" xfId="42" applyNumberFormat="1" applyFont="1" applyFill="1" applyBorder="1" applyAlignment="1" applyProtection="1"/>
    <xf numFmtId="169" fontId="0" fillId="0" borderId="13" xfId="42" applyNumberFormat="1" applyFont="1" applyFill="1" applyBorder="1" applyAlignment="1" applyProtection="1">
      <alignment horizontal="center"/>
    </xf>
    <xf numFmtId="169" fontId="51" fillId="0" borderId="13" xfId="42" applyNumberFormat="1" applyFont="1" applyFill="1" applyBorder="1" applyAlignment="1" applyProtection="1">
      <alignment horizontal="center"/>
    </xf>
    <xf numFmtId="169" fontId="35" fillId="0" borderId="13" xfId="42" applyNumberFormat="1" applyFont="1" applyFill="1" applyBorder="1" applyAlignment="1" applyProtection="1">
      <alignment horizontal="center"/>
    </xf>
    <xf numFmtId="169" fontId="0" fillId="0" borderId="4" xfId="42" applyNumberFormat="1" applyFont="1" applyFill="1" applyBorder="1" applyAlignment="1" applyProtection="1"/>
    <xf numFmtId="0" fontId="11" fillId="0" borderId="0" xfId="0" applyFont="1" applyBorder="1" applyAlignment="1">
      <alignment horizontal="center" vertical="center"/>
    </xf>
    <xf numFmtId="0" fontId="14" fillId="0" borderId="27" xfId="0" applyFont="1" applyFill="1" applyBorder="1" applyAlignment="1">
      <alignment horizontal="center" vertical="center"/>
    </xf>
    <xf numFmtId="0" fontId="11" fillId="0" borderId="0" xfId="0" applyFont="1" applyBorder="1" applyAlignment="1">
      <alignment horizontal="center" vertical="center" wrapText="1"/>
    </xf>
    <xf numFmtId="0" fontId="12" fillId="26" borderId="0" xfId="0" applyFont="1" applyFill="1" applyAlignment="1">
      <alignment vertical="center"/>
    </xf>
    <xf numFmtId="0" fontId="11" fillId="0" borderId="26" xfId="0" applyFont="1" applyBorder="1" applyAlignment="1">
      <alignment vertical="center"/>
    </xf>
    <xf numFmtId="0" fontId="11" fillId="0" borderId="0" xfId="0" applyFont="1" applyBorder="1" applyAlignment="1">
      <alignment vertical="center"/>
    </xf>
    <xf numFmtId="0" fontId="41" fillId="0" borderId="27" xfId="0" applyFont="1" applyFill="1" applyBorder="1" applyAlignment="1">
      <alignment horizontal="center" vertical="center"/>
    </xf>
    <xf numFmtId="0" fontId="5" fillId="26" borderId="0" xfId="0" applyFont="1" applyFill="1" applyAlignment="1">
      <alignment vertical="center"/>
    </xf>
    <xf numFmtId="0" fontId="5" fillId="0" borderId="0" xfId="0" applyFont="1" applyAlignment="1">
      <alignment vertical="center"/>
    </xf>
    <xf numFmtId="4" fontId="41" fillId="0" borderId="0" xfId="0" applyNumberFormat="1" applyFont="1" applyBorder="1"/>
    <xf numFmtId="167" fontId="57" fillId="0" borderId="0" xfId="0" applyNumberFormat="1" applyFont="1" applyBorder="1" applyAlignment="1"/>
    <xf numFmtId="167" fontId="14" fillId="0" borderId="0" xfId="0" applyNumberFormat="1" applyFont="1" applyFill="1" applyBorder="1" applyAlignment="1"/>
    <xf numFmtId="167" fontId="14" fillId="0" borderId="0" xfId="0" applyNumberFormat="1" applyFont="1" applyBorder="1" applyAlignment="1"/>
    <xf numFmtId="0" fontId="12" fillId="0" borderId="26" xfId="0" applyFont="1" applyBorder="1" applyAlignment="1">
      <alignment horizontal="right"/>
    </xf>
    <xf numFmtId="167" fontId="12" fillId="0" borderId="0" xfId="0" applyNumberFormat="1" applyFont="1" applyBorder="1" applyAlignment="1"/>
    <xf numFmtId="167" fontId="12" fillId="2" borderId="36" xfId="0" applyNumberFormat="1" applyFont="1" applyFill="1" applyBorder="1" applyAlignment="1"/>
    <xf numFmtId="0" fontId="60" fillId="0" borderId="26" xfId="0" applyFont="1" applyFill="1" applyBorder="1"/>
    <xf numFmtId="4" fontId="61" fillId="0" borderId="0" xfId="0" applyNumberFormat="1" applyFont="1" applyBorder="1"/>
    <xf numFmtId="167" fontId="60" fillId="0" borderId="0" xfId="0" applyNumberFormat="1" applyFont="1" applyFill="1" applyBorder="1" applyAlignment="1"/>
    <xf numFmtId="0" fontId="60" fillId="0" borderId="0" xfId="0" applyFont="1" applyBorder="1"/>
    <xf numFmtId="4" fontId="41" fillId="0" borderId="0" xfId="0" applyNumberFormat="1" applyFont="1" applyBorder="1" applyAlignment="1">
      <alignment horizontal="right"/>
    </xf>
    <xf numFmtId="0" fontId="49" fillId="0" borderId="1" xfId="42" applyNumberFormat="1" applyFont="1" applyFill="1" applyBorder="1" applyAlignment="1" applyProtection="1">
      <alignment horizontal="center" wrapText="1"/>
    </xf>
    <xf numFmtId="0" fontId="49" fillId="0" borderId="0" xfId="42" applyNumberFormat="1" applyFont="1" applyFill="1" applyBorder="1" applyAlignment="1" applyProtection="1"/>
    <xf numFmtId="0" fontId="0" fillId="0" borderId="0" xfId="0" applyAlignment="1">
      <alignment horizontal="left" vertical="center" wrapText="1" indent="2"/>
    </xf>
    <xf numFmtId="0" fontId="2" fillId="0" borderId="0" xfId="0" applyFont="1" applyAlignment="1">
      <alignment horizontal="left" vertical="center" wrapText="1" indent="1"/>
    </xf>
    <xf numFmtId="0" fontId="41" fillId="27" borderId="40" xfId="0" applyFont="1" applyFill="1" applyBorder="1" applyAlignment="1">
      <alignment vertical="center"/>
    </xf>
    <xf numFmtId="0" fontId="14" fillId="27" borderId="39" xfId="0" applyFont="1" applyFill="1" applyBorder="1" applyAlignment="1">
      <alignment vertical="center"/>
    </xf>
    <xf numFmtId="0" fontId="7" fillId="27" borderId="41" xfId="0" applyFont="1" applyFill="1" applyBorder="1" applyAlignment="1">
      <alignment vertical="center"/>
    </xf>
    <xf numFmtId="4" fontId="42" fillId="2" borderId="36" xfId="0" applyNumberFormat="1" applyFont="1" applyFill="1" applyBorder="1" applyAlignment="1">
      <alignment horizontal="right"/>
    </xf>
    <xf numFmtId="4" fontId="11" fillId="0" borderId="0" xfId="0" applyNumberFormat="1" applyFont="1" applyFill="1" applyBorder="1"/>
    <xf numFmtId="0" fontId="17" fillId="0" borderId="32" xfId="0" applyFont="1" applyBorder="1" applyAlignment="1">
      <alignment horizontal="right"/>
    </xf>
    <xf numFmtId="0" fontId="17" fillId="0" borderId="0" xfId="0" applyFont="1" applyBorder="1" applyAlignment="1">
      <alignment horizontal="right" vertical="top"/>
    </xf>
    <xf numFmtId="0" fontId="2" fillId="0" borderId="5" xfId="0" applyFont="1" applyBorder="1" applyAlignment="1">
      <alignment horizontal="center"/>
    </xf>
    <xf numFmtId="0" fontId="0" fillId="0" borderId="44" xfId="0" applyBorder="1" applyAlignment="1">
      <alignment horizontal="center"/>
    </xf>
    <xf numFmtId="0" fontId="0" fillId="0" borderId="36" xfId="0" applyBorder="1" applyAlignment="1">
      <alignment horizontal="center"/>
    </xf>
    <xf numFmtId="0" fontId="1" fillId="0" borderId="44" xfId="0" applyFont="1" applyBorder="1"/>
    <xf numFmtId="0" fontId="1" fillId="0" borderId="43" xfId="0" applyFont="1" applyBorder="1"/>
    <xf numFmtId="0" fontId="0" fillId="0" borderId="43" xfId="0" applyBorder="1"/>
    <xf numFmtId="1" fontId="0" fillId="0" borderId="0" xfId="0" applyNumberFormat="1" applyProtection="1">
      <protection locked="0"/>
    </xf>
    <xf numFmtId="0" fontId="39" fillId="0" borderId="44" xfId="0" applyFont="1" applyBorder="1" applyAlignment="1">
      <alignment horizontal="center" wrapText="1"/>
    </xf>
    <xf numFmtId="0" fontId="39" fillId="0" borderId="43" xfId="0" applyFont="1" applyBorder="1" applyAlignment="1">
      <alignment horizontal="center" wrapText="1"/>
    </xf>
    <xf numFmtId="0" fontId="39" fillId="0" borderId="45" xfId="0" applyFont="1" applyBorder="1" applyAlignment="1">
      <alignment horizontal="center" wrapText="1"/>
    </xf>
    <xf numFmtId="0" fontId="39" fillId="0" borderId="3" xfId="0" applyFont="1" applyBorder="1" applyAlignment="1">
      <alignment horizontal="center" wrapText="1"/>
    </xf>
    <xf numFmtId="0" fontId="39" fillId="0" borderId="13" xfId="0" applyFont="1" applyBorder="1" applyAlignment="1">
      <alignment horizontal="center" wrapText="1"/>
    </xf>
    <xf numFmtId="0" fontId="39" fillId="0" borderId="29" xfId="0" applyFont="1" applyBorder="1" applyAlignment="1">
      <alignment horizontal="center" wrapText="1"/>
    </xf>
    <xf numFmtId="0" fontId="11" fillId="26" borderId="42" xfId="0" applyFont="1" applyFill="1" applyBorder="1" applyAlignment="1">
      <alignment horizontal="left" vertical="top"/>
    </xf>
    <xf numFmtId="0" fontId="11" fillId="26" borderId="26" xfId="0" applyFont="1" applyFill="1" applyBorder="1" applyAlignment="1">
      <alignment horizontal="left" vertical="top"/>
    </xf>
    <xf numFmtId="0" fontId="11" fillId="26" borderId="28" xfId="0" applyFont="1" applyFill="1" applyBorder="1" applyAlignment="1">
      <alignment horizontal="left" vertical="top"/>
    </xf>
    <xf numFmtId="0" fontId="37" fillId="25" borderId="34" xfId="0" applyFont="1" applyFill="1" applyBorder="1" applyAlignment="1">
      <alignment horizontal="left"/>
    </xf>
    <xf numFmtId="0" fontId="12" fillId="25" borderId="0" xfId="0" applyFont="1" applyFill="1" applyBorder="1" applyAlignment="1">
      <alignment horizontal="left"/>
    </xf>
    <xf numFmtId="0" fontId="6" fillId="25" borderId="0" xfId="0" applyFont="1" applyFill="1" applyBorder="1" applyAlignment="1">
      <alignment horizontal="left"/>
    </xf>
    <xf numFmtId="0" fontId="11" fillId="26" borderId="33" xfId="0" applyFont="1" applyFill="1" applyBorder="1" applyAlignment="1">
      <alignment horizontal="left" vertical="top"/>
    </xf>
    <xf numFmtId="0" fontId="12" fillId="26" borderId="0" xfId="0" applyFont="1" applyFill="1" applyBorder="1" applyAlignment="1">
      <alignment horizontal="left" vertical="top"/>
    </xf>
    <xf numFmtId="169" fontId="45" fillId="0" borderId="1" xfId="42" applyNumberFormat="1" applyFont="1" applyFill="1" applyBorder="1" applyAlignment="1" applyProtection="1">
      <alignment horizontal="center" vertical="center" wrapText="1"/>
    </xf>
    <xf numFmtId="169" fontId="45" fillId="0" borderId="0" xfId="42" applyNumberFormat="1" applyFont="1" applyFill="1" applyBorder="1" applyAlignment="1" applyProtection="1">
      <alignment horizontal="center" vertical="center" wrapText="1"/>
    </xf>
    <xf numFmtId="0" fontId="49" fillId="0" borderId="0" xfId="42" applyNumberFormat="1" applyFont="1" applyFill="1" applyBorder="1" applyAlignment="1" applyProtection="1">
      <alignment horizontal="center" wrapText="1"/>
    </xf>
    <xf numFmtId="0" fontId="49" fillId="0" borderId="0" xfId="42" applyNumberFormat="1" applyFont="1" applyFill="1" applyBorder="1" applyAlignment="1" applyProtection="1">
      <alignment horizontal="center"/>
    </xf>
    <xf numFmtId="169" fontId="51" fillId="0" borderId="0" xfId="42" applyNumberFormat="1" applyFont="1" applyFill="1" applyBorder="1" applyAlignment="1" applyProtection="1">
      <alignment horizontal="center"/>
    </xf>
    <xf numFmtId="169" fontId="35" fillId="0" borderId="0" xfId="42" applyNumberFormat="1" applyFont="1" applyFill="1" applyBorder="1" applyAlignment="1" applyProtection="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 fillId="0" borderId="5" xfId="0" applyFont="1" applyBorder="1" applyAlignment="1">
      <alignment horizontal="center"/>
    </xf>
    <xf numFmtId="0" fontId="2" fillId="0" borderId="40" xfId="0" applyFont="1" applyBorder="1" applyAlignment="1">
      <alignment horizontal="center"/>
    </xf>
    <xf numFmtId="0" fontId="2" fillId="0" borderId="39" xfId="0" applyFont="1" applyBorder="1" applyAlignment="1">
      <alignment horizontal="center"/>
    </xf>
  </cellXfs>
  <cellStyles count="44">
    <cellStyle name="20 % - Accent1 2" xfId="1" xr:uid="{00000000-0005-0000-0000-000000000000}"/>
    <cellStyle name="20 % - Accent2 2" xfId="2" xr:uid="{00000000-0005-0000-0000-000001000000}"/>
    <cellStyle name="20 % - Accent3 2" xfId="3" xr:uid="{00000000-0005-0000-0000-000002000000}"/>
    <cellStyle name="20 % - Accent4 2" xfId="4" xr:uid="{00000000-0005-0000-0000-000003000000}"/>
    <cellStyle name="20 % - Accent5 2" xfId="5" xr:uid="{00000000-0005-0000-0000-000004000000}"/>
    <cellStyle name="20 % - Accent6 2" xfId="6" xr:uid="{00000000-0005-0000-0000-000005000000}"/>
    <cellStyle name="40 % - Accent1 2" xfId="7" xr:uid="{00000000-0005-0000-0000-000006000000}"/>
    <cellStyle name="40 % - Accent2 2" xfId="8" xr:uid="{00000000-0005-0000-0000-000007000000}"/>
    <cellStyle name="40 % - Accent3 2" xfId="9" xr:uid="{00000000-0005-0000-0000-000008000000}"/>
    <cellStyle name="40 % - Accent4 2" xfId="10" xr:uid="{00000000-0005-0000-0000-000009000000}"/>
    <cellStyle name="40 % - Accent5 2" xfId="11" xr:uid="{00000000-0005-0000-0000-00000A000000}"/>
    <cellStyle name="40 % - Accent6 2" xfId="12" xr:uid="{00000000-0005-0000-0000-00000B000000}"/>
    <cellStyle name="60 % - Accent1 2" xfId="13" xr:uid="{00000000-0005-0000-0000-00000C000000}"/>
    <cellStyle name="60 % - Accent2 2" xfId="14" xr:uid="{00000000-0005-0000-0000-00000D000000}"/>
    <cellStyle name="60 % - Accent3 2" xfId="15" xr:uid="{00000000-0005-0000-0000-00000E000000}"/>
    <cellStyle name="60 % - Accent4 2" xfId="16" xr:uid="{00000000-0005-0000-0000-00000F000000}"/>
    <cellStyle name="60 % - Accent5 2" xfId="17" xr:uid="{00000000-0005-0000-0000-000010000000}"/>
    <cellStyle name="60 %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Avertissement 2" xfId="25" xr:uid="{00000000-0005-0000-0000-000018000000}"/>
    <cellStyle name="Calcul 2" xfId="26" xr:uid="{00000000-0005-0000-0000-000019000000}"/>
    <cellStyle name="Cellule liée 2" xfId="27" xr:uid="{00000000-0005-0000-0000-00001A000000}"/>
    <cellStyle name="Commentaire 2" xfId="28" xr:uid="{00000000-0005-0000-0000-00001B000000}"/>
    <cellStyle name="Entrée 2" xfId="29" xr:uid="{00000000-0005-0000-0000-00001C000000}"/>
    <cellStyle name="Insatisfaisant 2" xfId="30" xr:uid="{00000000-0005-0000-0000-00001D000000}"/>
    <cellStyle name="Milliers_1199-calcul rétention chrommen-990218" xfId="42" xr:uid="{00000000-0005-0000-0000-00001E000000}"/>
    <cellStyle name="Neutre 2" xfId="31" xr:uid="{00000000-0005-0000-0000-00001F000000}"/>
    <cellStyle name="Normal" xfId="0" builtinId="0"/>
    <cellStyle name="Normal 2" xfId="43" xr:uid="{00000000-0005-0000-0000-000021000000}"/>
    <cellStyle name="Satisfaisant 2" xfId="32" xr:uid="{00000000-0005-0000-0000-000022000000}"/>
    <cellStyle name="Sortie 2" xfId="33" xr:uid="{00000000-0005-0000-0000-000023000000}"/>
    <cellStyle name="Texte explicatif 2" xfId="34" xr:uid="{00000000-0005-0000-0000-000024000000}"/>
    <cellStyle name="Titre 2" xfId="35" xr:uid="{00000000-0005-0000-0000-000025000000}"/>
    <cellStyle name="Titre 1 2" xfId="36" xr:uid="{00000000-0005-0000-0000-000026000000}"/>
    <cellStyle name="Titre 2 2" xfId="37" xr:uid="{00000000-0005-0000-0000-000027000000}"/>
    <cellStyle name="Titre 3 2" xfId="38" xr:uid="{00000000-0005-0000-0000-000028000000}"/>
    <cellStyle name="Titre 4 2" xfId="39" xr:uid="{00000000-0005-0000-0000-000029000000}"/>
    <cellStyle name="Total 2" xfId="40" xr:uid="{00000000-0005-0000-0000-00002A000000}"/>
    <cellStyle name="Vérification 2" xfId="41" xr:uid="{00000000-0005-0000-0000-00002B00000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ECF5AB"/>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Century Gothic" pitchFamily="34" charset="0"/>
              </a:defRPr>
            </a:pPr>
            <a:r>
              <a:rPr lang="en-US" sz="1000">
                <a:latin typeface="Arial" pitchFamily="34" charset="0"/>
                <a:cs typeface="Arial" pitchFamily="34" charset="0"/>
              </a:rPr>
              <a:t>Dimensionnement</a:t>
            </a:r>
            <a:r>
              <a:rPr lang="en-US" sz="1000" baseline="0">
                <a:latin typeface="Arial" pitchFamily="34" charset="0"/>
                <a:cs typeface="Arial" pitchFamily="34" charset="0"/>
              </a:rPr>
              <a:t> du volume d'accumulation </a:t>
            </a:r>
            <a:endParaRPr lang="en-US" sz="1000">
              <a:latin typeface="Arial" pitchFamily="34" charset="0"/>
              <a:cs typeface="Arial" pitchFamily="34" charset="0"/>
            </a:endParaRPr>
          </a:p>
        </c:rich>
      </c:tx>
      <c:overlay val="0"/>
    </c:title>
    <c:autoTitleDeleted val="0"/>
    <c:plotArea>
      <c:layout/>
      <c:scatterChart>
        <c:scatterStyle val="smoothMarker"/>
        <c:varyColors val="0"/>
        <c:ser>
          <c:idx val="1"/>
          <c:order val="0"/>
          <c:tx>
            <c:strRef>
              <c:f>A!$L$55</c:f>
              <c:strCache>
                <c:ptCount val="1"/>
                <c:pt idx="0">
                  <c:v>5 ans</c:v>
                </c:pt>
              </c:strCache>
            </c:strRef>
          </c:tx>
          <c:spPr>
            <a:ln>
              <a:solidFill>
                <a:schemeClr val="accent4">
                  <a:lumMod val="75000"/>
                </a:schemeClr>
              </a:solidFill>
            </a:ln>
          </c:spPr>
          <c:marker>
            <c:symbol val="none"/>
          </c:marker>
          <c:xVal>
            <c:numRef>
              <c:f>A!$K$56:$K$68</c:f>
              <c:numCache>
                <c:formatCode>General</c:formatCode>
                <c:ptCount val="13"/>
                <c:pt idx="0">
                  <c:v>5</c:v>
                </c:pt>
                <c:pt idx="1">
                  <c:v>10</c:v>
                </c:pt>
                <c:pt idx="2">
                  <c:v>20</c:v>
                </c:pt>
                <c:pt idx="3">
                  <c:v>30</c:v>
                </c:pt>
                <c:pt idx="4">
                  <c:v>40</c:v>
                </c:pt>
                <c:pt idx="5">
                  <c:v>50</c:v>
                </c:pt>
                <c:pt idx="6">
                  <c:v>60</c:v>
                </c:pt>
                <c:pt idx="7">
                  <c:v>70</c:v>
                </c:pt>
                <c:pt idx="8">
                  <c:v>80</c:v>
                </c:pt>
                <c:pt idx="9">
                  <c:v>90</c:v>
                </c:pt>
                <c:pt idx="10">
                  <c:v>100</c:v>
                </c:pt>
                <c:pt idx="11">
                  <c:v>110</c:v>
                </c:pt>
                <c:pt idx="12">
                  <c:v>120</c:v>
                </c:pt>
              </c:numCache>
            </c:numRef>
          </c:xVal>
          <c:yVal>
            <c:numRef>
              <c:f>A!$L$56:$L$68</c:f>
              <c:numCache>
                <c:formatCode>General</c:formatCode>
                <c:ptCount val="13"/>
                <c:pt idx="0">
                  <c:v>318</c:v>
                </c:pt>
                <c:pt idx="1">
                  <c:v>284</c:v>
                </c:pt>
                <c:pt idx="2">
                  <c:v>246</c:v>
                </c:pt>
                <c:pt idx="3">
                  <c:v>217</c:v>
                </c:pt>
                <c:pt idx="4">
                  <c:v>195</c:v>
                </c:pt>
                <c:pt idx="5">
                  <c:v>176</c:v>
                </c:pt>
                <c:pt idx="6">
                  <c:v>159</c:v>
                </c:pt>
                <c:pt idx="7">
                  <c:v>144</c:v>
                </c:pt>
                <c:pt idx="8">
                  <c:v>131</c:v>
                </c:pt>
                <c:pt idx="9">
                  <c:v>120</c:v>
                </c:pt>
                <c:pt idx="10">
                  <c:v>110</c:v>
                </c:pt>
                <c:pt idx="11">
                  <c:v>101</c:v>
                </c:pt>
                <c:pt idx="12">
                  <c:v>93</c:v>
                </c:pt>
              </c:numCache>
            </c:numRef>
          </c:yVal>
          <c:smooth val="1"/>
          <c:extLst>
            <c:ext xmlns:c16="http://schemas.microsoft.com/office/drawing/2014/chart" uri="{C3380CC4-5D6E-409C-BE32-E72D297353CC}">
              <c16:uniqueId val="{00000000-0790-418C-BE74-48A3F35F1D2B}"/>
            </c:ext>
          </c:extLst>
        </c:ser>
        <c:ser>
          <c:idx val="2"/>
          <c:order val="1"/>
          <c:tx>
            <c:v>X</c:v>
          </c:tx>
          <c:spPr>
            <a:ln>
              <a:solidFill>
                <a:schemeClr val="accent6">
                  <a:lumMod val="60000"/>
                  <a:lumOff val="40000"/>
                </a:schemeClr>
              </a:solidFill>
            </a:ln>
          </c:spPr>
          <c:marker>
            <c:symbol val="none"/>
          </c:marker>
          <c:xVal>
            <c:numRef>
              <c:f>A!$G$49:$G$50</c:f>
              <c:numCache>
                <c:formatCode>General</c:formatCode>
                <c:ptCount val="2"/>
                <c:pt idx="0">
                  <c:v>70.400000000000006</c:v>
                </c:pt>
                <c:pt idx="1">
                  <c:v>70.400000000000006</c:v>
                </c:pt>
              </c:numCache>
            </c:numRef>
          </c:xVal>
          <c:yVal>
            <c:numRef>
              <c:f>A!$H$49:$H$50</c:f>
              <c:numCache>
                <c:formatCode>0</c:formatCode>
                <c:ptCount val="2"/>
                <c:pt idx="0" formatCode="General">
                  <c:v>0</c:v>
                </c:pt>
                <c:pt idx="1">
                  <c:v>142.72406092163607</c:v>
                </c:pt>
              </c:numCache>
            </c:numRef>
          </c:yVal>
          <c:smooth val="1"/>
          <c:extLst>
            <c:ext xmlns:c16="http://schemas.microsoft.com/office/drawing/2014/chart" uri="{C3380CC4-5D6E-409C-BE32-E72D297353CC}">
              <c16:uniqueId val="{00000001-0790-418C-BE74-48A3F35F1D2B}"/>
            </c:ext>
          </c:extLst>
        </c:ser>
        <c:ser>
          <c:idx val="3"/>
          <c:order val="2"/>
          <c:tx>
            <c:v>Y</c:v>
          </c:tx>
          <c:spPr>
            <a:ln>
              <a:solidFill>
                <a:schemeClr val="accent6">
                  <a:lumMod val="60000"/>
                  <a:lumOff val="40000"/>
                </a:schemeClr>
              </a:solidFill>
            </a:ln>
          </c:spPr>
          <c:marker>
            <c:symbol val="none"/>
          </c:marker>
          <c:xVal>
            <c:numRef>
              <c:f>A!$H$52:$H$53</c:f>
              <c:numCache>
                <c:formatCode>General</c:formatCode>
                <c:ptCount val="2"/>
                <c:pt idx="0">
                  <c:v>0</c:v>
                </c:pt>
                <c:pt idx="1">
                  <c:v>70.400000000000006</c:v>
                </c:pt>
              </c:numCache>
            </c:numRef>
          </c:xVal>
          <c:yVal>
            <c:numRef>
              <c:f>A!$G$52:$G$53</c:f>
              <c:numCache>
                <c:formatCode>0</c:formatCode>
                <c:ptCount val="2"/>
                <c:pt idx="0">
                  <c:v>142.72406092163607</c:v>
                </c:pt>
                <c:pt idx="1">
                  <c:v>142.72406092163607</c:v>
                </c:pt>
              </c:numCache>
            </c:numRef>
          </c:yVal>
          <c:smooth val="1"/>
          <c:extLst>
            <c:ext xmlns:c16="http://schemas.microsoft.com/office/drawing/2014/chart" uri="{C3380CC4-5D6E-409C-BE32-E72D297353CC}">
              <c16:uniqueId val="{00000002-0790-418C-BE74-48A3F35F1D2B}"/>
            </c:ext>
          </c:extLst>
        </c:ser>
        <c:dLbls>
          <c:showLegendKey val="0"/>
          <c:showVal val="0"/>
          <c:showCatName val="0"/>
          <c:showSerName val="0"/>
          <c:showPercent val="0"/>
          <c:showBubbleSize val="0"/>
        </c:dLbls>
        <c:axId val="525182480"/>
        <c:axId val="525182872"/>
      </c:scatterChart>
      <c:valAx>
        <c:axId val="525182480"/>
        <c:scaling>
          <c:orientation val="minMax"/>
          <c:max val="120"/>
          <c:min val="0"/>
        </c:scaling>
        <c:delete val="0"/>
        <c:axPos val="b"/>
        <c:title>
          <c:tx>
            <c:rich>
              <a:bodyPr/>
              <a:lstStyle/>
              <a:p>
                <a:pPr>
                  <a:defRPr sz="900">
                    <a:latin typeface="Arial" pitchFamily="34" charset="0"/>
                    <a:cs typeface="Arial" pitchFamily="34" charset="0"/>
                  </a:defRPr>
                </a:pPr>
                <a:r>
                  <a:rPr lang="en-US" sz="900">
                    <a:latin typeface="Arial" pitchFamily="34" charset="0"/>
                    <a:cs typeface="Arial" pitchFamily="34" charset="0"/>
                  </a:rPr>
                  <a:t>Débit spéc. (infiltration ou écoulement</a:t>
                </a:r>
                <a:r>
                  <a:rPr lang="en-US" sz="900" baseline="0">
                    <a:latin typeface="Arial" pitchFamily="34" charset="0"/>
                    <a:cs typeface="Arial" pitchFamily="34" charset="0"/>
                  </a:rPr>
                  <a:t> régulé) [l/(s*ha</a:t>
                </a:r>
                <a:r>
                  <a:rPr lang="en-US" sz="900" baseline="-25000">
                    <a:latin typeface="Arial" pitchFamily="34" charset="0"/>
                    <a:cs typeface="Arial" pitchFamily="34" charset="0"/>
                  </a:rPr>
                  <a:t>réd</a:t>
                </a:r>
                <a:r>
                  <a:rPr lang="en-US" sz="900" baseline="0">
                    <a:latin typeface="Arial" pitchFamily="34" charset="0"/>
                    <a:cs typeface="Arial" pitchFamily="34" charset="0"/>
                  </a:rPr>
                  <a:t>)]</a:t>
                </a:r>
                <a:endParaRPr lang="en-US" sz="900">
                  <a:latin typeface="Arial" pitchFamily="34" charset="0"/>
                  <a:cs typeface="Arial" pitchFamily="34" charset="0"/>
                </a:endParaRPr>
              </a:p>
            </c:rich>
          </c:tx>
          <c:overlay val="0"/>
        </c:title>
        <c:numFmt formatCode="General" sourceLinked="1"/>
        <c:majorTickMark val="none"/>
        <c:minorTickMark val="none"/>
        <c:tickLblPos val="nextTo"/>
        <c:txPr>
          <a:bodyPr rot="0" vert="horz"/>
          <a:lstStyle/>
          <a:p>
            <a:pPr>
              <a:defRPr sz="900" b="0" i="0" u="none" strike="noStrike" baseline="0">
                <a:solidFill>
                  <a:srgbClr val="000000"/>
                </a:solidFill>
                <a:latin typeface="Arial"/>
                <a:ea typeface="Arial"/>
                <a:cs typeface="Arial"/>
              </a:defRPr>
            </a:pPr>
            <a:endParaRPr lang="fr-FR"/>
          </a:p>
        </c:txPr>
        <c:crossAx val="525182872"/>
        <c:crosses val="autoZero"/>
        <c:crossBetween val="midCat"/>
        <c:majorUnit val="10"/>
      </c:valAx>
      <c:valAx>
        <c:axId val="525182872"/>
        <c:scaling>
          <c:orientation val="minMax"/>
          <c:max val="400"/>
          <c:min val="0"/>
        </c:scaling>
        <c:delete val="0"/>
        <c:axPos val="l"/>
        <c:majorGridlines/>
        <c:title>
          <c:tx>
            <c:rich>
              <a:bodyPr/>
              <a:lstStyle/>
              <a:p>
                <a:pPr>
                  <a:defRPr sz="900">
                    <a:latin typeface="Arial" pitchFamily="34" charset="0"/>
                    <a:cs typeface="Arial" pitchFamily="34" charset="0"/>
                  </a:defRPr>
                </a:pPr>
                <a:r>
                  <a:rPr lang="en-US" sz="900">
                    <a:latin typeface="Arial" pitchFamily="34" charset="0"/>
                    <a:cs typeface="Arial" pitchFamily="34" charset="0"/>
                  </a:rPr>
                  <a:t>Volume d'accumulation</a:t>
                </a:r>
                <a:r>
                  <a:rPr lang="en-US" sz="900" baseline="0">
                    <a:latin typeface="Arial" pitchFamily="34" charset="0"/>
                    <a:cs typeface="Arial" pitchFamily="34" charset="0"/>
                  </a:rPr>
                  <a:t> </a:t>
                </a:r>
                <a:r>
                  <a:rPr lang="en-US" sz="900">
                    <a:latin typeface="Arial" pitchFamily="34" charset="0"/>
                    <a:cs typeface="Arial" pitchFamily="34" charset="0"/>
                  </a:rPr>
                  <a:t>spécifique [m</a:t>
                </a:r>
                <a:r>
                  <a:rPr lang="en-US" sz="900" baseline="30000">
                    <a:latin typeface="Arial" pitchFamily="34" charset="0"/>
                    <a:cs typeface="Arial" pitchFamily="34" charset="0"/>
                  </a:rPr>
                  <a:t>3</a:t>
                </a:r>
                <a:r>
                  <a:rPr lang="en-US" sz="900">
                    <a:latin typeface="Arial" pitchFamily="34" charset="0"/>
                    <a:cs typeface="Arial" pitchFamily="34" charset="0"/>
                  </a:rPr>
                  <a:t>/ha</a:t>
                </a:r>
                <a:r>
                  <a:rPr lang="en-US" sz="900" baseline="-25000">
                    <a:latin typeface="Arial" pitchFamily="34" charset="0"/>
                    <a:cs typeface="Arial" pitchFamily="34" charset="0"/>
                  </a:rPr>
                  <a:t>réd</a:t>
                </a:r>
                <a:r>
                  <a:rPr lang="en-US" sz="900">
                    <a:latin typeface="Arial" pitchFamily="34" charset="0"/>
                    <a:cs typeface="Arial" pitchFamily="34" charset="0"/>
                  </a:rPr>
                  <a:t>]</a:t>
                </a:r>
              </a:p>
            </c:rich>
          </c:tx>
          <c:layout>
            <c:manualLayout>
              <c:xMode val="edge"/>
              <c:yMode val="edge"/>
              <c:x val="2.9100432958700677E-2"/>
              <c:y val="0.15831978203811481"/>
            </c:manualLayout>
          </c:layout>
          <c:overlay val="0"/>
        </c:title>
        <c:numFmt formatCode="General" sourceLinked="1"/>
        <c:majorTickMark val="none"/>
        <c:minorTickMark val="none"/>
        <c:tickLblPos val="nextTo"/>
        <c:txPr>
          <a:bodyPr/>
          <a:lstStyle/>
          <a:p>
            <a:pPr>
              <a:defRPr sz="900">
                <a:latin typeface="Arial" pitchFamily="34" charset="0"/>
                <a:cs typeface="Arial" pitchFamily="34" charset="0"/>
              </a:defRPr>
            </a:pPr>
            <a:endParaRPr lang="fr-FR"/>
          </a:p>
        </c:txPr>
        <c:crossAx val="525182480"/>
        <c:crosses val="autoZero"/>
        <c:crossBetween val="midCat"/>
        <c:majorUnit val="50"/>
      </c:valAx>
      <c:spPr>
        <a:solidFill>
          <a:schemeClr val="accent1">
            <a:lumMod val="20000"/>
            <a:lumOff val="80000"/>
          </a:schemeClr>
        </a:solidFill>
      </c:spPr>
    </c:plotArea>
    <c:legend>
      <c:legendPos val="r"/>
      <c:legendEntry>
        <c:idx val="0"/>
        <c:txPr>
          <a:bodyPr/>
          <a:lstStyle/>
          <a:p>
            <a:pPr>
              <a:defRPr sz="900">
                <a:latin typeface="Arial" pitchFamily="34" charset="0"/>
                <a:cs typeface="Arial" pitchFamily="34" charset="0"/>
              </a:defRPr>
            </a:pPr>
            <a:endParaRPr lang="fr-FR"/>
          </a:p>
        </c:txPr>
      </c:legendEntry>
      <c:layout>
        <c:manualLayout>
          <c:xMode val="edge"/>
          <c:yMode val="edge"/>
          <c:x val="0.8446786459384884"/>
          <c:y val="0.46467426965651032"/>
          <c:w val="0.13612580478722214"/>
          <c:h val="5.1630434782608703E-2"/>
        </c:manualLayout>
      </c:layout>
      <c:overlay val="0"/>
      <c:txPr>
        <a:bodyPr/>
        <a:lstStyle/>
        <a:p>
          <a:pPr>
            <a:defRPr sz="900">
              <a:latin typeface="Arial" pitchFamily="34" charset="0"/>
              <a:cs typeface="Arial" pitchFamily="34" charset="0"/>
            </a:defRPr>
          </a:pPr>
          <a:endParaRPr lang="fr-FR"/>
        </a:p>
      </c:txPr>
    </c:legend>
    <c:plotVisOnly val="1"/>
    <c:dispBlanksAs val="gap"/>
    <c:showDLblsOverMax val="0"/>
  </c:chart>
  <c:spPr>
    <a:ln w="19050">
      <a:solidFill>
        <a:schemeClr val="accent3">
          <a:lumMod val="50000"/>
        </a:schemeClr>
      </a:solid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5.7840225438378544E-2"/>
          <c:y val="5.3747359139058842E-2"/>
          <c:w val="0.90917440489052359"/>
          <c:h val="0.88135780271628295"/>
        </c:manualLayout>
      </c:layout>
      <c:scatterChart>
        <c:scatterStyle val="smoothMarker"/>
        <c:varyColors val="0"/>
        <c:ser>
          <c:idx val="0"/>
          <c:order val="0"/>
          <c:tx>
            <c:v>T5</c:v>
          </c:tx>
          <c:spPr>
            <a:ln w="1905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trendline>
            <c:spPr>
              <a:ln w="19050" cap="rnd">
                <a:solidFill>
                  <a:schemeClr val="accent1"/>
                </a:solidFill>
                <a:prstDash val="sysDot"/>
              </a:ln>
              <a:effectLst/>
            </c:spPr>
            <c:trendlineType val="poly"/>
            <c:order val="4"/>
            <c:dispRSqr val="1"/>
            <c:dispEq val="1"/>
            <c:trendlineLbl>
              <c:layout>
                <c:manualLayout>
                  <c:x val="-4.5198756310206763E-2"/>
                  <c:y val="-0.36717201173300296"/>
                </c:manualLayout>
              </c:layout>
              <c:tx>
                <c:rich>
                  <a:bodyPr/>
                  <a:lstStyle/>
                  <a:p>
                    <a:pPr>
                      <a:defRPr sz="900" b="0" i="0" u="none" strike="noStrike" baseline="0">
                        <a:solidFill>
                          <a:srgbClr val="333333"/>
                        </a:solidFill>
                        <a:latin typeface="Calibri"/>
                        <a:ea typeface="Calibri"/>
                        <a:cs typeface="Calibri"/>
                      </a:defRPr>
                    </a:pPr>
                    <a:r>
                      <a:rPr lang="fr-CH" sz="1200" b="1" i="0" u="none" strike="noStrike" baseline="0">
                        <a:solidFill>
                          <a:schemeClr val="tx2">
                            <a:lumMod val="75000"/>
                          </a:schemeClr>
                        </a:solidFill>
                        <a:effectLst/>
                      </a:rPr>
                      <a:t>T5</a:t>
                    </a:r>
                    <a:r>
                      <a:rPr lang="fr-CH" sz="900" b="0" i="0" u="none" strike="noStrike" baseline="0">
                        <a:effectLst/>
                      </a:rPr>
                      <a:t>    </a:t>
                    </a:r>
                    <a:r>
                      <a:rPr lang="en-US" baseline="0"/>
                      <a:t>y = 3E-06x</a:t>
                    </a:r>
                    <a:r>
                      <a:rPr lang="en-US" baseline="30000"/>
                      <a:t>4</a:t>
                    </a:r>
                    <a:r>
                      <a:rPr lang="en-US" baseline="0"/>
                      <a:t> - 0.0008x</a:t>
                    </a:r>
                    <a:r>
                      <a:rPr lang="en-US" baseline="30000"/>
                      <a:t>3</a:t>
                    </a:r>
                    <a:r>
                      <a:rPr lang="en-US" baseline="0"/>
                      <a:t> + 0.0971x</a:t>
                    </a:r>
                    <a:r>
                      <a:rPr lang="en-US" baseline="30000"/>
                      <a:t>2</a:t>
                    </a:r>
                    <a:r>
                      <a:rPr lang="en-US" baseline="0"/>
                      <a:t> - 6.5372x + 345.18</a:t>
                    </a:r>
                    <a:br>
                      <a:rPr lang="en-US" baseline="0"/>
                    </a:br>
                    <a:r>
                      <a:rPr lang="en-US" baseline="0"/>
                      <a:t>R² = 0.9983</a:t>
                    </a:r>
                    <a:endParaRPr lang="en-US"/>
                  </a:p>
                </c:rich>
              </c:tx>
              <c:numFmt formatCode="General" sourceLinked="0"/>
              <c:spPr>
                <a:noFill/>
                <a:ln w="25400">
                  <a:noFill/>
                </a:ln>
              </c:spPr>
            </c:trendlineLbl>
          </c:trendline>
          <c:xVal>
            <c:numLit>
              <c:formatCode>General</c:formatCode>
              <c:ptCount val="13"/>
              <c:pt idx="0">
                <c:v>5</c:v>
              </c:pt>
              <c:pt idx="1">
                <c:v>10</c:v>
              </c:pt>
              <c:pt idx="2">
                <c:v>20</c:v>
              </c:pt>
              <c:pt idx="3">
                <c:v>30</c:v>
              </c:pt>
              <c:pt idx="4">
                <c:v>40</c:v>
              </c:pt>
              <c:pt idx="5">
                <c:v>50</c:v>
              </c:pt>
              <c:pt idx="6">
                <c:v>60</c:v>
              </c:pt>
              <c:pt idx="7">
                <c:v>70</c:v>
              </c:pt>
              <c:pt idx="8">
                <c:v>80</c:v>
              </c:pt>
              <c:pt idx="9">
                <c:v>90</c:v>
              </c:pt>
              <c:pt idx="10">
                <c:v>100</c:v>
              </c:pt>
              <c:pt idx="11">
                <c:v>110</c:v>
              </c:pt>
              <c:pt idx="12">
                <c:v>120</c:v>
              </c:pt>
            </c:numLit>
          </c:xVal>
          <c:yVal>
            <c:numLit>
              <c:formatCode>General</c:formatCode>
              <c:ptCount val="13"/>
              <c:pt idx="0">
                <c:v>320</c:v>
              </c:pt>
              <c:pt idx="1">
                <c:v>282</c:v>
              </c:pt>
              <c:pt idx="2">
                <c:v>245</c:v>
              </c:pt>
              <c:pt idx="3">
                <c:v>220</c:v>
              </c:pt>
              <c:pt idx="4">
                <c:v>195</c:v>
              </c:pt>
              <c:pt idx="5">
                <c:v>175</c:v>
              </c:pt>
              <c:pt idx="6">
                <c:v>160</c:v>
              </c:pt>
              <c:pt idx="7">
                <c:v>145</c:v>
              </c:pt>
              <c:pt idx="8">
                <c:v>130</c:v>
              </c:pt>
              <c:pt idx="9">
                <c:v>120</c:v>
              </c:pt>
              <c:pt idx="10">
                <c:v>110</c:v>
              </c:pt>
              <c:pt idx="11">
                <c:v>100</c:v>
              </c:pt>
              <c:pt idx="12">
                <c:v>92</c:v>
              </c:pt>
            </c:numLit>
          </c:yVal>
          <c:smooth val="1"/>
          <c:extLst>
            <c:ext xmlns:c16="http://schemas.microsoft.com/office/drawing/2014/chart" uri="{C3380CC4-5D6E-409C-BE32-E72D297353CC}">
              <c16:uniqueId val="{00000001-EC4A-4B4C-A746-EA65BB85A18F}"/>
            </c:ext>
          </c:extLst>
        </c:ser>
        <c:dLbls>
          <c:showLegendKey val="0"/>
          <c:showVal val="0"/>
          <c:showCatName val="0"/>
          <c:showSerName val="0"/>
          <c:showPercent val="0"/>
          <c:showBubbleSize val="0"/>
        </c:dLbls>
        <c:axId val="517509184"/>
        <c:axId val="517503304"/>
      </c:scatterChart>
      <c:valAx>
        <c:axId val="5175091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fr-FR"/>
          </a:p>
        </c:txPr>
        <c:crossAx val="517503304"/>
        <c:crosses val="autoZero"/>
        <c:crossBetween val="midCat"/>
        <c:majorUnit val="10"/>
      </c:valAx>
      <c:valAx>
        <c:axId val="5175033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fr-FR"/>
          </a:p>
        </c:txPr>
        <c:crossAx val="517509184"/>
        <c:crosses val="autoZero"/>
        <c:crossBetween val="midCat"/>
        <c:majorUnit val="20"/>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5032039</xdr:colOff>
      <xdr:row>0</xdr:row>
      <xdr:rowOff>53435</xdr:rowOff>
    </xdr:from>
    <xdr:to>
      <xdr:col>1</xdr:col>
      <xdr:colOff>6823778</xdr:colOff>
      <xdr:row>0</xdr:row>
      <xdr:rowOff>650196</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17096" y="53435"/>
          <a:ext cx="1791739" cy="59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183136</xdr:colOff>
      <xdr:row>1</xdr:row>
      <xdr:rowOff>48026</xdr:rowOff>
    </xdr:from>
    <xdr:to>
      <xdr:col>8</xdr:col>
      <xdr:colOff>875489</xdr:colOff>
      <xdr:row>3</xdr:row>
      <xdr:rowOff>176702</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94876" y="169946"/>
          <a:ext cx="1793443" cy="593496"/>
        </a:xfrm>
        <a:prstGeom prst="rect">
          <a:avLst/>
        </a:prstGeom>
      </xdr:spPr>
    </xdr:pic>
    <xdr:clientData/>
  </xdr:twoCellAnchor>
  <xdr:twoCellAnchor>
    <xdr:from>
      <xdr:col>4</xdr:col>
      <xdr:colOff>388775</xdr:colOff>
      <xdr:row>38</xdr:row>
      <xdr:rowOff>108857</xdr:rowOff>
    </xdr:from>
    <xdr:to>
      <xdr:col>4</xdr:col>
      <xdr:colOff>2581469</xdr:colOff>
      <xdr:row>38</xdr:row>
      <xdr:rowOff>108857</xdr:rowOff>
    </xdr:to>
    <xdr:cxnSp macro="">
      <xdr:nvCxnSpPr>
        <xdr:cNvPr id="4" name="Connecteur droit avec flèche 3">
          <a:extLst>
            <a:ext uri="{FF2B5EF4-FFF2-40B4-BE49-F238E27FC236}">
              <a16:creationId xmlns:a16="http://schemas.microsoft.com/office/drawing/2014/main" id="{00000000-0008-0000-0100-000004000000}"/>
            </a:ext>
          </a:extLst>
        </xdr:cNvPr>
        <xdr:cNvCxnSpPr/>
      </xdr:nvCxnSpPr>
      <xdr:spPr bwMode="auto">
        <a:xfrm>
          <a:off x="5629469" y="7433388"/>
          <a:ext cx="2192694" cy="0"/>
        </a:xfrm>
        <a:prstGeom prst="straightConnector1">
          <a:avLst/>
        </a:prstGeom>
        <a:solidFill>
          <a:srgbClr val="FFFFFF"/>
        </a:solidFill>
        <a:ln w="9525" cap="flat" cmpd="sng" algn="ctr">
          <a:solidFill>
            <a:srgbClr val="FF0000"/>
          </a:solidFill>
          <a:prstDash val="solid"/>
          <a:round/>
          <a:headEnd type="none" w="med" len="med"/>
          <a:tailEnd type="triangle"/>
        </a:ln>
        <a:effectLst/>
      </xdr:spPr>
    </xdr:cxnSp>
    <xdr:clientData/>
  </xdr:twoCellAnchor>
  <xdr:twoCellAnchor>
    <xdr:from>
      <xdr:col>11</xdr:col>
      <xdr:colOff>21771</xdr:colOff>
      <xdr:row>0</xdr:row>
      <xdr:rowOff>10885</xdr:rowOff>
    </xdr:from>
    <xdr:to>
      <xdr:col>16</xdr:col>
      <xdr:colOff>446315</xdr:colOff>
      <xdr:row>41</xdr:row>
      <xdr:rowOff>0</xdr:rowOff>
    </xdr:to>
    <xdr:graphicFrame macro="">
      <xdr:nvGraphicFramePr>
        <xdr:cNvPr id="14" name="Graphique 1">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8</xdr:col>
      <xdr:colOff>655320</xdr:colOff>
      <xdr:row>33</xdr:row>
      <xdr:rowOff>134733</xdr:rowOff>
    </xdr:to>
    <xdr:pic>
      <xdr:nvPicPr>
        <xdr:cNvPr id="4" name="Imag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
          <a:ext cx="7292339" cy="56516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67683</xdr:colOff>
      <xdr:row>4</xdr:row>
      <xdr:rowOff>0</xdr:rowOff>
    </xdr:from>
    <xdr:to>
      <xdr:col>13</xdr:col>
      <xdr:colOff>645458</xdr:colOff>
      <xdr:row>31</xdr:row>
      <xdr:rowOff>144778</xdr:rowOff>
    </xdr:to>
    <xdr:graphicFrame macro="">
      <xdr:nvGraphicFramePr>
        <xdr:cNvPr id="2" name="Graphique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295836</xdr:colOff>
      <xdr:row>12</xdr:row>
      <xdr:rowOff>89648</xdr:rowOff>
    </xdr:from>
    <xdr:to>
      <xdr:col>9</xdr:col>
      <xdr:colOff>44824</xdr:colOff>
      <xdr:row>16</xdr:row>
      <xdr:rowOff>107578</xdr:rowOff>
    </xdr:to>
    <xdr:cxnSp macro="">
      <xdr:nvCxnSpPr>
        <xdr:cNvPr id="3" name="Connecteur droit avec flèche 2">
          <a:extLst>
            <a:ext uri="{FF2B5EF4-FFF2-40B4-BE49-F238E27FC236}">
              <a16:creationId xmlns:a16="http://schemas.microsoft.com/office/drawing/2014/main" id="{00000000-0008-0000-0400-000003000000}"/>
            </a:ext>
          </a:extLst>
        </xdr:cNvPr>
        <xdr:cNvCxnSpPr/>
      </xdr:nvCxnSpPr>
      <xdr:spPr bwMode="auto">
        <a:xfrm flipH="1">
          <a:off x="4890696" y="2246108"/>
          <a:ext cx="571948" cy="688490"/>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5</xdr:col>
      <xdr:colOff>493261</xdr:colOff>
      <xdr:row>22</xdr:row>
      <xdr:rowOff>136073</xdr:rowOff>
    </xdr:from>
    <xdr:to>
      <xdr:col>12</xdr:col>
      <xdr:colOff>680357</xdr:colOff>
      <xdr:row>22</xdr:row>
      <xdr:rowOff>144576</xdr:rowOff>
    </xdr:to>
    <xdr:cxnSp macro="">
      <xdr:nvCxnSpPr>
        <xdr:cNvPr id="5" name="Connecteur droit avec flèche 4">
          <a:extLst>
            <a:ext uri="{FF2B5EF4-FFF2-40B4-BE49-F238E27FC236}">
              <a16:creationId xmlns:a16="http://schemas.microsoft.com/office/drawing/2014/main" id="{00000000-0008-0000-0400-000005000000}"/>
            </a:ext>
          </a:extLst>
        </xdr:cNvPr>
        <xdr:cNvCxnSpPr/>
      </xdr:nvCxnSpPr>
      <xdr:spPr bwMode="auto">
        <a:xfrm flipH="1" flipV="1">
          <a:off x="2338730" y="4073640"/>
          <a:ext cx="6004149" cy="8503"/>
        </a:xfrm>
        <a:prstGeom prst="straightConnector1">
          <a:avLst/>
        </a:prstGeom>
        <a:solidFill>
          <a:srgbClr val="FFFFFF"/>
        </a:solidFill>
        <a:ln w="12700" cap="flat" cmpd="sng" algn="ctr">
          <a:solidFill>
            <a:srgbClr val="FF0000"/>
          </a:solidFill>
          <a:prstDash val="dash"/>
          <a:round/>
          <a:headEnd type="none" w="med" len="med"/>
          <a:tailEnd type="none"/>
        </a:ln>
        <a:effectLst/>
      </xdr:spPr>
    </xdr:cxnSp>
    <xdr:clientData/>
  </xdr:twoCellAnchor>
  <xdr:twoCellAnchor>
    <xdr:from>
      <xdr:col>7</xdr:col>
      <xdr:colOff>618565</xdr:colOff>
      <xdr:row>32</xdr:row>
      <xdr:rowOff>62753</xdr:rowOff>
    </xdr:from>
    <xdr:to>
      <xdr:col>10</xdr:col>
      <xdr:colOff>394447</xdr:colOff>
      <xdr:row>33</xdr:row>
      <xdr:rowOff>152401</xdr:rowOff>
    </xdr:to>
    <xdr:sp macro="" textlink="">
      <xdr:nvSpPr>
        <xdr:cNvPr id="6" name="ZoneTexte 5">
          <a:extLst>
            <a:ext uri="{FF2B5EF4-FFF2-40B4-BE49-F238E27FC236}">
              <a16:creationId xmlns:a16="http://schemas.microsoft.com/office/drawing/2014/main" id="{00000000-0008-0000-0400-000006000000}"/>
            </a:ext>
          </a:extLst>
        </xdr:cNvPr>
        <xdr:cNvSpPr txBox="1"/>
      </xdr:nvSpPr>
      <xdr:spPr>
        <a:xfrm>
          <a:off x="4390465" y="5602493"/>
          <a:ext cx="2244762" cy="2572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CH" sz="1100" b="1" i="0" u="none" strike="noStrike">
              <a:solidFill>
                <a:schemeClr val="dk1"/>
              </a:solidFill>
              <a:effectLst/>
              <a:latin typeface="+mn-lt"/>
              <a:ea typeface="+mn-ea"/>
              <a:cs typeface="+mn-cs"/>
            </a:rPr>
            <a:t>q</a:t>
          </a:r>
          <a:r>
            <a:rPr lang="fr-CH" sz="1100" b="1" i="0" u="none" strike="noStrike" baseline="-25000">
              <a:solidFill>
                <a:schemeClr val="dk1"/>
              </a:solidFill>
              <a:effectLst/>
              <a:latin typeface="+mn-lt"/>
              <a:ea typeface="+mn-ea"/>
              <a:cs typeface="+mn-cs"/>
            </a:rPr>
            <a:t>ab</a:t>
          </a:r>
          <a:r>
            <a:rPr lang="fr-CH" sz="1100" b="1" i="0" u="none" strike="noStrike">
              <a:solidFill>
                <a:schemeClr val="dk1"/>
              </a:solidFill>
              <a:effectLst/>
              <a:latin typeface="+mn-lt"/>
              <a:ea typeface="+mn-ea"/>
              <a:cs typeface="+mn-cs"/>
            </a:rPr>
            <a:t>  -  Débit sortant spécifique</a:t>
          </a:r>
          <a:r>
            <a:rPr lang="fr-CH"/>
            <a:t> </a:t>
          </a:r>
          <a:endParaRPr lang="fr-CH" sz="1100"/>
        </a:p>
      </xdr:txBody>
    </xdr:sp>
    <xdr:clientData/>
  </xdr:twoCellAnchor>
  <xdr:twoCellAnchor>
    <xdr:from>
      <xdr:col>13</xdr:col>
      <xdr:colOff>229244</xdr:colOff>
      <xdr:row>6</xdr:row>
      <xdr:rowOff>221116</xdr:rowOff>
    </xdr:from>
    <xdr:to>
      <xdr:col>13</xdr:col>
      <xdr:colOff>489221</xdr:colOff>
      <xdr:row>29</xdr:row>
      <xdr:rowOff>8965</xdr:rowOff>
    </xdr:to>
    <xdr:sp macro="" textlink="">
      <xdr:nvSpPr>
        <xdr:cNvPr id="7" name="ZoneTexte 6">
          <a:extLst>
            <a:ext uri="{FF2B5EF4-FFF2-40B4-BE49-F238E27FC236}">
              <a16:creationId xmlns:a16="http://schemas.microsoft.com/office/drawing/2014/main" id="{00000000-0008-0000-0400-000007000000}"/>
            </a:ext>
          </a:extLst>
        </xdr:cNvPr>
        <xdr:cNvSpPr txBox="1"/>
      </xdr:nvSpPr>
      <xdr:spPr>
        <a:xfrm rot="16200000">
          <a:off x="6877674" y="3004137"/>
          <a:ext cx="3887001" cy="2599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CH" sz="1100" b="1" i="0" u="none" strike="noStrike">
              <a:solidFill>
                <a:schemeClr val="dk1"/>
              </a:solidFill>
              <a:effectLst/>
              <a:latin typeface="+mn-lt"/>
              <a:ea typeface="+mn-ea"/>
              <a:cs typeface="+mn-cs"/>
            </a:rPr>
            <a:t>V</a:t>
          </a:r>
          <a:r>
            <a:rPr lang="fr-CH" sz="1100" b="1" i="0" u="none" strike="noStrike" baseline="-25000">
              <a:solidFill>
                <a:schemeClr val="dk1"/>
              </a:solidFill>
              <a:effectLst/>
              <a:latin typeface="+mn-lt"/>
              <a:ea typeface="+mn-ea"/>
              <a:cs typeface="+mn-cs"/>
            </a:rPr>
            <a:t>ab</a:t>
          </a:r>
          <a:r>
            <a:rPr lang="fr-CH" sz="1100" b="1" i="0" u="none" strike="noStrike">
              <a:solidFill>
                <a:schemeClr val="dk1"/>
              </a:solidFill>
              <a:effectLst/>
              <a:latin typeface="+mn-lt"/>
              <a:ea typeface="+mn-ea"/>
              <a:cs typeface="+mn-cs"/>
            </a:rPr>
            <a:t>  -  Volume de rétention spécifique.</a:t>
          </a:r>
          <a:endParaRPr lang="fr-CH" sz="1100"/>
        </a:p>
      </xdr:txBody>
    </xdr:sp>
    <xdr:clientData/>
  </xdr:twoCellAnchor>
</xdr:wsDr>
</file>

<file path=xl/drawings/drawing5.xml><?xml version="1.0" encoding="utf-8"?>
<c:userShapes xmlns:c="http://schemas.openxmlformats.org/drawingml/2006/chart">
  <cdr:relSizeAnchor xmlns:cdr="http://schemas.openxmlformats.org/drawingml/2006/chartDrawing">
    <cdr:from>
      <cdr:x>0.35232</cdr:x>
      <cdr:y>0.63823</cdr:y>
    </cdr:from>
    <cdr:to>
      <cdr:x>0.43625</cdr:x>
      <cdr:y>0.67997</cdr:y>
    </cdr:to>
    <cdr:sp macro="" textlink="">
      <cdr:nvSpPr>
        <cdr:cNvPr id="2" name="ZoneTexte 1">
          <a:extLst xmlns:a="http://schemas.openxmlformats.org/drawingml/2006/main">
            <a:ext uri="{FF2B5EF4-FFF2-40B4-BE49-F238E27FC236}">
              <a16:creationId xmlns:a16="http://schemas.microsoft.com/office/drawing/2014/main" id="{08C1333C-4635-47B3-BFFF-527AA8DD73EE}"/>
            </a:ext>
          </a:extLst>
        </cdr:cNvPr>
        <cdr:cNvSpPr txBox="1"/>
      </cdr:nvSpPr>
      <cdr:spPr>
        <a:xfrm xmlns:a="http://schemas.openxmlformats.org/drawingml/2006/main">
          <a:off x="2534683" y="3121139"/>
          <a:ext cx="603816" cy="204107"/>
        </a:xfrm>
        <a:prstGeom xmlns:a="http://schemas.openxmlformats.org/drawingml/2006/main" prst="rect">
          <a:avLst/>
        </a:prstGeom>
        <a:noFill xmlns:a="http://schemas.openxmlformats.org/drawingml/2006/main"/>
      </cdr:spPr>
      <cdr:txBody>
        <a:bodyPr xmlns:a="http://schemas.openxmlformats.org/drawingml/2006/main" vertOverflow="clip" wrap="square" rtlCol="0"/>
        <a:lstStyle xmlns:a="http://schemas.openxmlformats.org/drawingml/2006/main"/>
        <a:p xmlns:a="http://schemas.openxmlformats.org/drawingml/2006/main">
          <a:r>
            <a:rPr lang="fr-CH" sz="1100">
              <a:solidFill>
                <a:srgbClr val="FF0000"/>
              </a:solidFill>
            </a:rPr>
            <a:t>V</a:t>
          </a:r>
          <a:r>
            <a:rPr lang="fr-CH" sz="1100" baseline="-25000">
              <a:solidFill>
                <a:srgbClr val="FF0000"/>
              </a:solidFill>
            </a:rPr>
            <a:t>ab </a:t>
          </a:r>
          <a:r>
            <a:rPr lang="fr-CH" sz="1100" baseline="0">
              <a:solidFill>
                <a:srgbClr val="FF0000"/>
              </a:solidFill>
            </a:rPr>
            <a:t>min</a:t>
          </a:r>
          <a:endParaRPr lang="fr-CH" sz="1100">
            <a:solidFill>
              <a:srgbClr val="FF0000"/>
            </a:solidFill>
          </a:endParaRP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23</xdr:col>
      <xdr:colOff>53340</xdr:colOff>
      <xdr:row>0</xdr:row>
      <xdr:rowOff>68580</xdr:rowOff>
    </xdr:from>
    <xdr:to>
      <xdr:col>28</xdr:col>
      <xdr:colOff>7620</xdr:colOff>
      <xdr:row>14</xdr:row>
      <xdr:rowOff>91440</xdr:rowOff>
    </xdr:to>
    <xdr:pic>
      <xdr:nvPicPr>
        <xdr:cNvPr id="3899" name="Picture 6" descr="C:\Documents and Settings\gb\Bureau\SCAN9039_000.jpg">
          <a:extLst>
            <a:ext uri="{FF2B5EF4-FFF2-40B4-BE49-F238E27FC236}">
              <a16:creationId xmlns:a16="http://schemas.microsoft.com/office/drawing/2014/main" id="{00000000-0008-0000-0500-00003B0F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78200" y="68580"/>
          <a:ext cx="3916680" cy="2674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23</xdr:col>
      <xdr:colOff>106680</xdr:colOff>
      <xdr:row>21</xdr:row>
      <xdr:rowOff>68580</xdr:rowOff>
    </xdr:from>
    <xdr:to>
      <xdr:col>28</xdr:col>
      <xdr:colOff>0</xdr:colOff>
      <xdr:row>39</xdr:row>
      <xdr:rowOff>129540</xdr:rowOff>
    </xdr:to>
    <xdr:grpSp>
      <xdr:nvGrpSpPr>
        <xdr:cNvPr id="3900" name="Groupe 4">
          <a:extLst>
            <a:ext uri="{FF2B5EF4-FFF2-40B4-BE49-F238E27FC236}">
              <a16:creationId xmlns:a16="http://schemas.microsoft.com/office/drawing/2014/main" id="{00000000-0008-0000-0500-00003C0F0000}"/>
            </a:ext>
          </a:extLst>
        </xdr:cNvPr>
        <xdr:cNvGrpSpPr>
          <a:grpSpLocks/>
        </xdr:cNvGrpSpPr>
      </xdr:nvGrpSpPr>
      <xdr:grpSpPr bwMode="auto">
        <a:xfrm>
          <a:off x="16233371" y="3864725"/>
          <a:ext cx="3841865" cy="3039688"/>
          <a:chOff x="7734300" y="3505200"/>
          <a:chExt cx="3705225" cy="2962275"/>
        </a:xfrm>
      </xdr:grpSpPr>
      <xdr:pic>
        <xdr:nvPicPr>
          <xdr:cNvPr id="3901" name="Picture 5" descr="C:\Documents and Settings\gb\Bureau\SCAN9038_000.jpg">
            <a:extLst>
              <a:ext uri="{FF2B5EF4-FFF2-40B4-BE49-F238E27FC236}">
                <a16:creationId xmlns:a16="http://schemas.microsoft.com/office/drawing/2014/main" id="{00000000-0008-0000-0500-00003D0F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34300" y="3505200"/>
            <a:ext cx="3705225" cy="2962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902" name="Rectangle 3">
            <a:extLst>
              <a:ext uri="{FF2B5EF4-FFF2-40B4-BE49-F238E27FC236}">
                <a16:creationId xmlns:a16="http://schemas.microsoft.com/office/drawing/2014/main" id="{00000000-0008-0000-0500-00003E0F0000}"/>
              </a:ext>
            </a:extLst>
          </xdr:cNvPr>
          <xdr:cNvSpPr>
            <a:spLocks noChangeArrowheads="1"/>
          </xdr:cNvSpPr>
        </xdr:nvSpPr>
        <xdr:spPr bwMode="auto">
          <a:xfrm>
            <a:off x="10477500" y="4686300"/>
            <a:ext cx="904875" cy="609600"/>
          </a:xfrm>
          <a:prstGeom prst="rect">
            <a:avLst/>
          </a:prstGeom>
          <a:solidFill>
            <a:srgbClr val="FFFFFF"/>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23</xdr:col>
      <xdr:colOff>53340</xdr:colOff>
      <xdr:row>0</xdr:row>
      <xdr:rowOff>68580</xdr:rowOff>
    </xdr:from>
    <xdr:to>
      <xdr:col>28</xdr:col>
      <xdr:colOff>7620</xdr:colOff>
      <xdr:row>16</xdr:row>
      <xdr:rowOff>76200</xdr:rowOff>
    </xdr:to>
    <xdr:pic>
      <xdr:nvPicPr>
        <xdr:cNvPr id="3" name="Picture 6" descr="C:\Documents and Settings\gb\Bureau\SCAN9039_000.jpg">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78200" y="68580"/>
          <a:ext cx="3916680" cy="2674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23</xdr:col>
      <xdr:colOff>106680</xdr:colOff>
      <xdr:row>21</xdr:row>
      <xdr:rowOff>68580</xdr:rowOff>
    </xdr:from>
    <xdr:to>
      <xdr:col>28</xdr:col>
      <xdr:colOff>0</xdr:colOff>
      <xdr:row>39</xdr:row>
      <xdr:rowOff>129540</xdr:rowOff>
    </xdr:to>
    <xdr:grpSp>
      <xdr:nvGrpSpPr>
        <xdr:cNvPr id="4" name="Groupe 4">
          <a:extLst>
            <a:ext uri="{FF2B5EF4-FFF2-40B4-BE49-F238E27FC236}">
              <a16:creationId xmlns:a16="http://schemas.microsoft.com/office/drawing/2014/main" id="{00000000-0008-0000-0600-000004000000}"/>
            </a:ext>
          </a:extLst>
        </xdr:cNvPr>
        <xdr:cNvGrpSpPr>
          <a:grpSpLocks/>
        </xdr:cNvGrpSpPr>
      </xdr:nvGrpSpPr>
      <xdr:grpSpPr bwMode="auto">
        <a:xfrm>
          <a:off x="16233371" y="3864725"/>
          <a:ext cx="3841865" cy="3039688"/>
          <a:chOff x="7734300" y="3505200"/>
          <a:chExt cx="3705225" cy="2962275"/>
        </a:xfrm>
      </xdr:grpSpPr>
      <xdr:pic>
        <xdr:nvPicPr>
          <xdr:cNvPr id="5" name="Picture 5" descr="C:\Documents and Settings\gb\Bureau\SCAN9038_000.jpg">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34300" y="3505200"/>
            <a:ext cx="3705225" cy="2962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Rectangle 3">
            <a:extLst>
              <a:ext uri="{FF2B5EF4-FFF2-40B4-BE49-F238E27FC236}">
                <a16:creationId xmlns:a16="http://schemas.microsoft.com/office/drawing/2014/main" id="{00000000-0008-0000-0600-000006000000}"/>
              </a:ext>
            </a:extLst>
          </xdr:cNvPr>
          <xdr:cNvSpPr>
            <a:spLocks noChangeArrowheads="1"/>
          </xdr:cNvSpPr>
        </xdr:nvSpPr>
        <xdr:spPr bwMode="auto">
          <a:xfrm>
            <a:off x="10477500" y="4686300"/>
            <a:ext cx="904875" cy="609600"/>
          </a:xfrm>
          <a:prstGeom prst="rect">
            <a:avLst/>
          </a:prstGeom>
          <a:solidFill>
            <a:srgbClr val="FFFFFF"/>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31"/>
  <sheetViews>
    <sheetView tabSelected="1" topLeftCell="A7" zoomScale="70" zoomScaleNormal="70" workbookViewId="0">
      <selection activeCell="B21" sqref="B21"/>
    </sheetView>
  </sheetViews>
  <sheetFormatPr baseColWidth="10" defaultRowHeight="12.75" x14ac:dyDescent="0.2"/>
  <cols>
    <col min="1" max="1" width="2.7109375" style="176" customWidth="1"/>
    <col min="2" max="2" width="99.85546875" customWidth="1"/>
  </cols>
  <sheetData>
    <row r="1" spans="1:2" ht="54.6" customHeight="1" x14ac:dyDescent="0.2">
      <c r="B1" s="175" t="s">
        <v>90</v>
      </c>
    </row>
    <row r="2" spans="1:2" ht="36" customHeight="1" x14ac:dyDescent="0.2">
      <c r="A2" s="173"/>
      <c r="B2" s="246" t="s">
        <v>139</v>
      </c>
    </row>
    <row r="3" spans="1:2" ht="13.15" customHeight="1" x14ac:dyDescent="0.2">
      <c r="A3" s="174">
        <v>1</v>
      </c>
      <c r="B3" s="172" t="s">
        <v>86</v>
      </c>
    </row>
    <row r="4" spans="1:2" ht="48" customHeight="1" x14ac:dyDescent="0.2">
      <c r="A4" s="174"/>
      <c r="B4" s="171" t="s">
        <v>125</v>
      </c>
    </row>
    <row r="5" spans="1:2" ht="7.9" customHeight="1" x14ac:dyDescent="0.2">
      <c r="A5" s="174"/>
      <c r="B5" s="170"/>
    </row>
    <row r="6" spans="1:2" ht="44.45" customHeight="1" x14ac:dyDescent="0.2">
      <c r="A6" s="174"/>
      <c r="B6" s="171" t="s">
        <v>87</v>
      </c>
    </row>
    <row r="7" spans="1:2" ht="7.9" customHeight="1" x14ac:dyDescent="0.2">
      <c r="A7" s="174"/>
      <c r="B7" s="170"/>
    </row>
    <row r="8" spans="1:2" ht="13.15" customHeight="1" x14ac:dyDescent="0.2">
      <c r="A8" s="174"/>
      <c r="B8" s="171" t="s">
        <v>126</v>
      </c>
    </row>
    <row r="9" spans="1:2" ht="7.9" customHeight="1" x14ac:dyDescent="0.2">
      <c r="A9" s="174"/>
      <c r="B9" s="170"/>
    </row>
    <row r="10" spans="1:2" ht="39.6" customHeight="1" x14ac:dyDescent="0.2">
      <c r="A10" s="174"/>
      <c r="B10" s="239" t="s">
        <v>88</v>
      </c>
    </row>
    <row r="11" spans="1:2" ht="7.9" customHeight="1" x14ac:dyDescent="0.2">
      <c r="A11" s="174"/>
      <c r="B11" s="238"/>
    </row>
    <row r="12" spans="1:2" ht="25.5" x14ac:dyDescent="0.2">
      <c r="A12" s="174"/>
      <c r="B12" s="239" t="s">
        <v>127</v>
      </c>
    </row>
    <row r="13" spans="1:2" ht="7.9" customHeight="1" x14ac:dyDescent="0.2">
      <c r="A13" s="174"/>
      <c r="B13" s="170"/>
    </row>
    <row r="14" spans="1:2" ht="25.5" x14ac:dyDescent="0.2">
      <c r="A14" s="174"/>
      <c r="B14" s="171" t="s">
        <v>95</v>
      </c>
    </row>
    <row r="15" spans="1:2" ht="13.15" customHeight="1" x14ac:dyDescent="0.2">
      <c r="A15" s="174"/>
      <c r="B15" s="169"/>
    </row>
    <row r="16" spans="1:2" ht="13.15" customHeight="1" x14ac:dyDescent="0.2">
      <c r="A16" s="174">
        <v>2</v>
      </c>
      <c r="B16" s="172" t="s">
        <v>91</v>
      </c>
    </row>
    <row r="17" spans="1:2" ht="25.5" x14ac:dyDescent="0.2">
      <c r="A17" s="174"/>
      <c r="B17" s="171" t="s">
        <v>128</v>
      </c>
    </row>
    <row r="18" spans="1:2" ht="13.15" customHeight="1" x14ac:dyDescent="0.2">
      <c r="A18" s="174"/>
      <c r="B18" s="169"/>
    </row>
    <row r="19" spans="1:2" ht="13.15" customHeight="1" x14ac:dyDescent="0.2">
      <c r="A19" s="174">
        <v>3</v>
      </c>
      <c r="B19" s="172" t="s">
        <v>92</v>
      </c>
    </row>
    <row r="20" spans="1:2" ht="26.45" customHeight="1" x14ac:dyDescent="0.2">
      <c r="A20" s="174"/>
      <c r="B20" s="171" t="s">
        <v>129</v>
      </c>
    </row>
    <row r="21" spans="1:2" ht="77.45" customHeight="1" x14ac:dyDescent="0.2">
      <c r="A21" s="174"/>
      <c r="B21" s="171" t="s">
        <v>130</v>
      </c>
    </row>
    <row r="22" spans="1:2" ht="13.15" customHeight="1" x14ac:dyDescent="0.2">
      <c r="A22" s="174"/>
    </row>
    <row r="23" spans="1:2" ht="13.15" customHeight="1" x14ac:dyDescent="0.2">
      <c r="A23" s="174">
        <v>4</v>
      </c>
      <c r="B23" s="172" t="s">
        <v>94</v>
      </c>
    </row>
    <row r="24" spans="1:2" ht="30" customHeight="1" x14ac:dyDescent="0.2">
      <c r="A24" s="174"/>
      <c r="B24" s="171" t="s">
        <v>134</v>
      </c>
    </row>
    <row r="25" spans="1:2" ht="27" customHeight="1" x14ac:dyDescent="0.2">
      <c r="A25" s="174"/>
      <c r="B25" s="171" t="s">
        <v>131</v>
      </c>
    </row>
    <row r="26" spans="1:2" ht="13.15" customHeight="1" x14ac:dyDescent="0.2"/>
    <row r="27" spans="1:2" ht="13.15" customHeight="1" x14ac:dyDescent="0.2">
      <c r="A27" s="176">
        <v>5</v>
      </c>
      <c r="B27" s="172" t="s">
        <v>93</v>
      </c>
    </row>
    <row r="28" spans="1:2" ht="13.15" customHeight="1" x14ac:dyDescent="0.2">
      <c r="A28" s="174"/>
      <c r="B28" s="171" t="s">
        <v>89</v>
      </c>
    </row>
    <row r="30" spans="1:2" ht="13.15" customHeight="1" x14ac:dyDescent="0.2">
      <c r="A30" s="176">
        <v>6</v>
      </c>
      <c r="B30" s="172" t="s">
        <v>132</v>
      </c>
    </row>
    <row r="31" spans="1:2" ht="13.15" customHeight="1" x14ac:dyDescent="0.2">
      <c r="A31" s="174"/>
      <c r="B31" s="171" t="s">
        <v>133</v>
      </c>
    </row>
  </sheetData>
  <pageMargins left="0.25" right="0.25" top="0.75" bottom="0.75" header="0.3" footer="0.3"/>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1"/>
  <sheetViews>
    <sheetView zoomScale="70" zoomScaleNormal="70" workbookViewId="0">
      <selection activeCell="D8" sqref="D8"/>
    </sheetView>
  </sheetViews>
  <sheetFormatPr baseColWidth="10" defaultColWidth="11.5703125" defaultRowHeight="12.75" x14ac:dyDescent="0.2"/>
  <cols>
    <col min="1" max="1" width="1.7109375" style="78" customWidth="1"/>
    <col min="2" max="2" width="22.28515625" style="74" customWidth="1"/>
    <col min="3" max="3" width="38.28515625" style="74" customWidth="1"/>
    <col min="4" max="4" width="14.140625" style="74" customWidth="1"/>
    <col min="5" max="5" width="38.7109375" style="74" customWidth="1"/>
    <col min="6" max="7" width="14.7109375" style="74" customWidth="1"/>
    <col min="8" max="8" width="16.140625" style="75" customWidth="1"/>
    <col min="9" max="9" width="14.7109375" style="75" customWidth="1"/>
    <col min="10" max="10" width="1.85546875" style="75" customWidth="1"/>
    <col min="11" max="11" width="4.7109375" style="75" customWidth="1"/>
    <col min="12" max="16384" width="11.5703125" style="67"/>
  </cols>
  <sheetData>
    <row r="1" spans="1:11" ht="6.6" customHeight="1" thickBot="1" x14ac:dyDescent="0.25">
      <c r="A1" s="118"/>
      <c r="B1" s="119"/>
      <c r="C1" s="119"/>
      <c r="D1" s="119"/>
      <c r="E1" s="119"/>
      <c r="F1" s="119"/>
      <c r="G1" s="119"/>
      <c r="H1" s="120"/>
      <c r="I1" s="120"/>
      <c r="J1" s="118"/>
      <c r="K1" s="67"/>
    </row>
    <row r="2" spans="1:11" ht="21" x14ac:dyDescent="0.35">
      <c r="A2" s="118"/>
      <c r="B2" s="162" t="s">
        <v>37</v>
      </c>
      <c r="C2" s="263" t="s">
        <v>138</v>
      </c>
      <c r="D2" s="263"/>
      <c r="E2" s="163"/>
      <c r="F2" s="164"/>
      <c r="G2" s="164"/>
      <c r="H2" s="164"/>
      <c r="I2" s="165"/>
      <c r="J2" s="118"/>
      <c r="K2" s="67"/>
    </row>
    <row r="3" spans="1:11" s="80" customFormat="1" ht="15.75" x14ac:dyDescent="0.25">
      <c r="A3" s="121"/>
      <c r="B3" s="96" t="s">
        <v>38</v>
      </c>
      <c r="C3" s="264" t="s">
        <v>96</v>
      </c>
      <c r="D3" s="264"/>
      <c r="E3" s="82"/>
      <c r="F3" s="79"/>
      <c r="G3" s="79"/>
      <c r="H3" s="79"/>
      <c r="I3" s="97"/>
      <c r="J3" s="121"/>
    </row>
    <row r="4" spans="1:11" s="80" customFormat="1" ht="18.75" x14ac:dyDescent="0.3">
      <c r="A4" s="121"/>
      <c r="B4" s="96"/>
      <c r="C4" s="265" t="s">
        <v>97</v>
      </c>
      <c r="D4" s="265"/>
      <c r="E4" s="79"/>
      <c r="F4" s="81" t="s">
        <v>108</v>
      </c>
      <c r="G4" s="146"/>
      <c r="H4" s="79"/>
      <c r="I4" s="97"/>
      <c r="J4" s="121"/>
    </row>
    <row r="5" spans="1:11" s="80" customFormat="1" ht="15.75" x14ac:dyDescent="0.25">
      <c r="A5" s="121"/>
      <c r="B5" s="96"/>
      <c r="C5" s="89"/>
      <c r="D5" s="81"/>
      <c r="E5" s="79"/>
      <c r="F5" s="81"/>
      <c r="G5" s="68"/>
      <c r="H5" s="79"/>
      <c r="I5" s="97"/>
      <c r="J5" s="121"/>
    </row>
    <row r="6" spans="1:11" ht="18.75" x14ac:dyDescent="0.3">
      <c r="A6" s="118"/>
      <c r="B6" s="98" t="s">
        <v>68</v>
      </c>
      <c r="C6" s="90" t="s">
        <v>137</v>
      </c>
      <c r="D6" s="243">
        <v>0.2</v>
      </c>
      <c r="E6" s="90" t="s">
        <v>136</v>
      </c>
      <c r="F6" s="68"/>
      <c r="G6" s="68"/>
      <c r="H6" s="68"/>
      <c r="I6" s="99"/>
      <c r="J6" s="118"/>
      <c r="K6" s="67"/>
    </row>
    <row r="7" spans="1:11" ht="18" x14ac:dyDescent="0.25">
      <c r="A7" s="118"/>
      <c r="B7" s="100"/>
      <c r="C7" s="90" t="s">
        <v>69</v>
      </c>
      <c r="D7" s="146">
        <v>1500</v>
      </c>
      <c r="E7" s="91" t="s">
        <v>77</v>
      </c>
      <c r="F7" s="68"/>
      <c r="G7" s="68"/>
      <c r="H7" s="68"/>
      <c r="I7" s="99"/>
      <c r="J7" s="118"/>
      <c r="K7" s="67"/>
    </row>
    <row r="8" spans="1:11" s="223" customFormat="1" ht="31.5" x14ac:dyDescent="0.2">
      <c r="A8" s="218"/>
      <c r="B8" s="219" t="s">
        <v>39</v>
      </c>
      <c r="C8" s="220"/>
      <c r="D8" s="220"/>
      <c r="E8" s="220"/>
      <c r="F8" s="215" t="s">
        <v>40</v>
      </c>
      <c r="G8" s="215" t="s">
        <v>72</v>
      </c>
      <c r="H8" s="217" t="s">
        <v>74</v>
      </c>
      <c r="I8" s="221" t="s">
        <v>112</v>
      </c>
      <c r="J8" s="222"/>
    </row>
    <row r="9" spans="1:11" ht="18.75" x14ac:dyDescent="0.25">
      <c r="A9" s="121"/>
      <c r="B9" s="102"/>
      <c r="C9" s="79"/>
      <c r="D9" s="79"/>
      <c r="E9" s="79"/>
      <c r="F9" s="69" t="s">
        <v>41</v>
      </c>
      <c r="G9" s="215" t="s">
        <v>109</v>
      </c>
      <c r="H9" s="215" t="s">
        <v>110</v>
      </c>
      <c r="I9" s="216" t="s">
        <v>111</v>
      </c>
      <c r="J9" s="118"/>
      <c r="K9" s="67"/>
    </row>
    <row r="10" spans="1:11" ht="4.9000000000000004" customHeight="1" thickBot="1" x14ac:dyDescent="0.3">
      <c r="A10" s="121"/>
      <c r="B10" s="103"/>
      <c r="C10" s="70"/>
      <c r="D10" s="70"/>
      <c r="E10" s="70"/>
      <c r="F10" s="71"/>
      <c r="G10" s="81"/>
      <c r="H10" s="81"/>
      <c r="I10" s="101"/>
      <c r="J10" s="118"/>
      <c r="K10" s="67"/>
    </row>
    <row r="11" spans="1:11" ht="15.6" customHeight="1" x14ac:dyDescent="0.25">
      <c r="A11" s="121"/>
      <c r="B11" s="266" t="s">
        <v>63</v>
      </c>
      <c r="C11" s="141" t="s">
        <v>64</v>
      </c>
      <c r="D11" s="141"/>
      <c r="E11" s="141" t="s">
        <v>114</v>
      </c>
      <c r="F11" s="142">
        <v>0.9</v>
      </c>
      <c r="G11" s="143">
        <v>1000</v>
      </c>
      <c r="H11" s="144">
        <f t="shared" ref="H11:H27" si="0">F11*G11</f>
        <v>900</v>
      </c>
      <c r="I11" s="145">
        <f t="shared" ref="I11:I27" si="1">H11*($D$33/10000)</f>
        <v>19.799999999999997</v>
      </c>
      <c r="J11" s="118"/>
      <c r="K11" s="67"/>
    </row>
    <row r="12" spans="1:11" ht="15.6" customHeight="1" x14ac:dyDescent="0.25">
      <c r="A12" s="121"/>
      <c r="B12" s="261"/>
      <c r="C12" s="76" t="s">
        <v>76</v>
      </c>
      <c r="D12" s="76"/>
      <c r="E12" s="76" t="s">
        <v>53</v>
      </c>
      <c r="F12" s="92">
        <v>0.6</v>
      </c>
      <c r="G12" s="146">
        <v>0</v>
      </c>
      <c r="H12" s="94">
        <f t="shared" si="0"/>
        <v>0</v>
      </c>
      <c r="I12" s="104">
        <f t="shared" si="1"/>
        <v>0</v>
      </c>
      <c r="J12" s="118"/>
      <c r="K12" s="67"/>
    </row>
    <row r="13" spans="1:11" ht="15.6" customHeight="1" x14ac:dyDescent="0.25">
      <c r="A13" s="121"/>
      <c r="B13" s="261"/>
      <c r="C13" s="267" t="s">
        <v>65</v>
      </c>
      <c r="D13" s="77"/>
      <c r="E13" s="76" t="s">
        <v>54</v>
      </c>
      <c r="F13" s="92">
        <v>0.1</v>
      </c>
      <c r="G13" s="146">
        <v>0</v>
      </c>
      <c r="H13" s="94">
        <f t="shared" si="0"/>
        <v>0</v>
      </c>
      <c r="I13" s="104">
        <f t="shared" si="1"/>
        <v>0</v>
      </c>
      <c r="J13" s="118"/>
      <c r="K13" s="67"/>
    </row>
    <row r="14" spans="1:11" ht="15.6" customHeight="1" x14ac:dyDescent="0.25">
      <c r="A14" s="121"/>
      <c r="B14" s="261"/>
      <c r="C14" s="267"/>
      <c r="D14" s="77"/>
      <c r="E14" s="76" t="s">
        <v>55</v>
      </c>
      <c r="F14" s="92">
        <v>0.2</v>
      </c>
      <c r="G14" s="146">
        <v>0</v>
      </c>
      <c r="H14" s="94">
        <f t="shared" si="0"/>
        <v>0</v>
      </c>
      <c r="I14" s="104">
        <f t="shared" si="1"/>
        <v>0</v>
      </c>
      <c r="J14" s="118"/>
      <c r="K14" s="67"/>
    </row>
    <row r="15" spans="1:11" ht="15.6" customHeight="1" x14ac:dyDescent="0.25">
      <c r="A15" s="121"/>
      <c r="B15" s="261"/>
      <c r="C15" s="267"/>
      <c r="D15" s="77"/>
      <c r="E15" s="76" t="s">
        <v>56</v>
      </c>
      <c r="F15" s="92">
        <v>0.4</v>
      </c>
      <c r="G15" s="146">
        <v>0</v>
      </c>
      <c r="H15" s="94">
        <f t="shared" si="0"/>
        <v>0</v>
      </c>
      <c r="I15" s="104">
        <f t="shared" si="1"/>
        <v>0</v>
      </c>
      <c r="J15" s="118"/>
      <c r="K15" s="67"/>
    </row>
    <row r="16" spans="1:11" ht="15.6" customHeight="1" x14ac:dyDescent="0.25">
      <c r="A16" s="121"/>
      <c r="B16" s="261"/>
      <c r="C16" s="267"/>
      <c r="D16" s="77"/>
      <c r="E16" s="76" t="s">
        <v>57</v>
      </c>
      <c r="F16" s="92">
        <v>0.6</v>
      </c>
      <c r="G16" s="146">
        <v>0</v>
      </c>
      <c r="H16" s="94">
        <f t="shared" si="0"/>
        <v>0</v>
      </c>
      <c r="I16" s="104">
        <f t="shared" si="1"/>
        <v>0</v>
      </c>
      <c r="J16" s="118"/>
      <c r="K16" s="67"/>
    </row>
    <row r="17" spans="1:11" ht="15.6" customHeight="1" x14ac:dyDescent="0.25">
      <c r="A17" s="121"/>
      <c r="B17" s="262"/>
      <c r="C17" s="140" t="s">
        <v>71</v>
      </c>
      <c r="D17" s="83"/>
      <c r="E17" s="88" t="s">
        <v>117</v>
      </c>
      <c r="F17" s="93">
        <v>0.1</v>
      </c>
      <c r="G17" s="146">
        <v>250</v>
      </c>
      <c r="H17" s="132">
        <f>F17*G17</f>
        <v>25</v>
      </c>
      <c r="I17" s="105">
        <f t="shared" si="1"/>
        <v>0.54999999999999993</v>
      </c>
      <c r="J17" s="118"/>
      <c r="K17" s="67"/>
    </row>
    <row r="18" spans="1:11" ht="15.6" customHeight="1" x14ac:dyDescent="0.25">
      <c r="A18" s="121"/>
      <c r="B18" s="147" t="s">
        <v>113</v>
      </c>
      <c r="C18" s="148"/>
      <c r="D18" s="148"/>
      <c r="E18" s="149"/>
      <c r="F18" s="150">
        <v>0.8</v>
      </c>
      <c r="G18" s="146">
        <v>0</v>
      </c>
      <c r="H18" s="151">
        <f t="shared" si="0"/>
        <v>0</v>
      </c>
      <c r="I18" s="152">
        <f t="shared" si="1"/>
        <v>0</v>
      </c>
      <c r="J18" s="118"/>
      <c r="K18" s="67"/>
    </row>
    <row r="19" spans="1:11" ht="15.6" customHeight="1" x14ac:dyDescent="0.25">
      <c r="A19" s="121"/>
      <c r="B19" s="147" t="s">
        <v>79</v>
      </c>
      <c r="C19" s="148"/>
      <c r="D19" s="148"/>
      <c r="E19" s="149"/>
      <c r="F19" s="150">
        <v>1</v>
      </c>
      <c r="G19" s="146">
        <v>0</v>
      </c>
      <c r="H19" s="151">
        <f t="shared" si="0"/>
        <v>0</v>
      </c>
      <c r="I19" s="105">
        <f t="shared" si="1"/>
        <v>0</v>
      </c>
      <c r="J19" s="118"/>
      <c r="K19" s="67"/>
    </row>
    <row r="20" spans="1:11" ht="15.6" customHeight="1" x14ac:dyDescent="0.25">
      <c r="A20" s="121"/>
      <c r="B20" s="260" t="s">
        <v>66</v>
      </c>
      <c r="C20" s="153" t="s">
        <v>58</v>
      </c>
      <c r="D20" s="153"/>
      <c r="E20" s="153" t="s">
        <v>73</v>
      </c>
      <c r="F20" s="154">
        <v>0.8</v>
      </c>
      <c r="G20" s="146">
        <v>0</v>
      </c>
      <c r="H20" s="94">
        <f t="shared" si="0"/>
        <v>0</v>
      </c>
      <c r="I20" s="104">
        <f t="shared" si="1"/>
        <v>0</v>
      </c>
      <c r="J20" s="118"/>
      <c r="K20" s="67"/>
    </row>
    <row r="21" spans="1:11" ht="15.6" customHeight="1" x14ac:dyDescent="0.25">
      <c r="A21" s="121"/>
      <c r="B21" s="261"/>
      <c r="C21" s="76" t="s">
        <v>67</v>
      </c>
      <c r="D21" s="76"/>
      <c r="E21" s="76" t="s">
        <v>115</v>
      </c>
      <c r="F21" s="92">
        <v>0.6</v>
      </c>
      <c r="G21" s="146">
        <v>0</v>
      </c>
      <c r="H21" s="94">
        <f t="shared" si="0"/>
        <v>0</v>
      </c>
      <c r="I21" s="104">
        <f t="shared" si="1"/>
        <v>0</v>
      </c>
      <c r="J21" s="118"/>
      <c r="K21" s="67"/>
    </row>
    <row r="22" spans="1:11" ht="15.6" customHeight="1" x14ac:dyDescent="0.25">
      <c r="A22" s="121"/>
      <c r="B22" s="261"/>
      <c r="C22" s="76" t="s">
        <v>59</v>
      </c>
      <c r="D22" s="76"/>
      <c r="E22" s="76"/>
      <c r="F22" s="92">
        <v>0.6</v>
      </c>
      <c r="G22" s="146">
        <v>0</v>
      </c>
      <c r="H22" s="94">
        <f t="shared" si="0"/>
        <v>0</v>
      </c>
      <c r="I22" s="104">
        <f t="shared" si="1"/>
        <v>0</v>
      </c>
      <c r="J22" s="118"/>
      <c r="K22" s="67"/>
    </row>
    <row r="23" spans="1:11" ht="15.6" customHeight="1" x14ac:dyDescent="0.25">
      <c r="A23" s="121"/>
      <c r="B23" s="261"/>
      <c r="C23" s="76" t="s">
        <v>60</v>
      </c>
      <c r="D23" s="76"/>
      <c r="E23" s="76" t="s">
        <v>115</v>
      </c>
      <c r="F23" s="92">
        <v>0.6</v>
      </c>
      <c r="G23" s="146">
        <v>0</v>
      </c>
      <c r="H23" s="94">
        <f t="shared" si="0"/>
        <v>0</v>
      </c>
      <c r="I23" s="104">
        <f t="shared" si="1"/>
        <v>0</v>
      </c>
      <c r="J23" s="118"/>
      <c r="K23" s="67"/>
    </row>
    <row r="24" spans="1:11" ht="15.6" customHeight="1" x14ac:dyDescent="0.25">
      <c r="A24" s="121"/>
      <c r="B24" s="261"/>
      <c r="C24" s="76" t="s">
        <v>61</v>
      </c>
      <c r="D24" s="76"/>
      <c r="E24" s="76" t="s">
        <v>115</v>
      </c>
      <c r="F24" s="92">
        <v>0.2</v>
      </c>
      <c r="G24" s="146">
        <v>0</v>
      </c>
      <c r="H24" s="94">
        <f t="shared" si="0"/>
        <v>0</v>
      </c>
      <c r="I24" s="104">
        <f t="shared" si="1"/>
        <v>0</v>
      </c>
      <c r="J24" s="118"/>
      <c r="K24" s="67"/>
    </row>
    <row r="25" spans="1:11" ht="15.6" customHeight="1" x14ac:dyDescent="0.25">
      <c r="A25" s="121"/>
      <c r="B25" s="261"/>
      <c r="C25" s="76" t="s">
        <v>62</v>
      </c>
      <c r="D25" s="76"/>
      <c r="E25" s="76"/>
      <c r="F25" s="92">
        <v>0.2</v>
      </c>
      <c r="G25" s="146">
        <v>0</v>
      </c>
      <c r="H25" s="94">
        <f t="shared" si="0"/>
        <v>0</v>
      </c>
      <c r="I25" s="104">
        <f t="shared" si="1"/>
        <v>0</v>
      </c>
      <c r="J25" s="118"/>
      <c r="K25" s="67"/>
    </row>
    <row r="26" spans="1:11" ht="15.6" customHeight="1" x14ac:dyDescent="0.25">
      <c r="A26" s="121"/>
      <c r="B26" s="262"/>
      <c r="C26" s="140" t="s">
        <v>84</v>
      </c>
      <c r="D26" s="83"/>
      <c r="E26" s="88" t="s">
        <v>117</v>
      </c>
      <c r="F26" s="93">
        <v>0.1</v>
      </c>
      <c r="G26" s="146">
        <v>0</v>
      </c>
      <c r="H26" s="95">
        <f t="shared" si="0"/>
        <v>0</v>
      </c>
      <c r="I26" s="105">
        <f t="shared" si="1"/>
        <v>0</v>
      </c>
      <c r="J26" s="118"/>
      <c r="K26" s="67"/>
    </row>
    <row r="27" spans="1:11" ht="15.6" customHeight="1" thickBot="1" x14ac:dyDescent="0.3">
      <c r="A27" s="121"/>
      <c r="B27" s="155" t="s">
        <v>44</v>
      </c>
      <c r="C27" s="156" t="s">
        <v>78</v>
      </c>
      <c r="D27" s="156"/>
      <c r="E27" s="157" t="s">
        <v>116</v>
      </c>
      <c r="F27" s="158">
        <v>0.05</v>
      </c>
      <c r="G27" s="159">
        <f>D7-SUM(G11:G26)</f>
        <v>250</v>
      </c>
      <c r="H27" s="160">
        <f t="shared" si="0"/>
        <v>12.5</v>
      </c>
      <c r="I27" s="161">
        <f t="shared" si="1"/>
        <v>0.27499999999999997</v>
      </c>
      <c r="J27" s="118"/>
      <c r="K27" s="67"/>
    </row>
    <row r="28" spans="1:11" ht="15.75" x14ac:dyDescent="0.25">
      <c r="A28" s="121"/>
      <c r="B28" s="103"/>
      <c r="C28" s="70"/>
      <c r="D28" s="70"/>
      <c r="E28" s="70"/>
      <c r="F28" s="70"/>
      <c r="G28" s="106"/>
      <c r="H28" s="106"/>
      <c r="I28" s="107"/>
      <c r="J28" s="118"/>
      <c r="K28" s="67"/>
    </row>
    <row r="29" spans="1:11" ht="15.75" x14ac:dyDescent="0.25">
      <c r="A29" s="121"/>
      <c r="B29" s="102"/>
      <c r="C29" s="73"/>
      <c r="D29" s="73"/>
      <c r="E29" s="79"/>
      <c r="F29" s="73" t="s">
        <v>45</v>
      </c>
      <c r="G29" s="108">
        <f>SUM(G11:G27)</f>
        <v>1500</v>
      </c>
      <c r="H29" s="244">
        <f>SUM(H11:H27)</f>
        <v>937.5</v>
      </c>
      <c r="I29" s="110">
        <f>SUM(I11:I27)</f>
        <v>20.624999999999996</v>
      </c>
      <c r="J29" s="118"/>
      <c r="K29" s="67"/>
    </row>
    <row r="30" spans="1:11" ht="6" customHeight="1" x14ac:dyDescent="0.25">
      <c r="A30" s="121"/>
      <c r="B30" s="102"/>
      <c r="C30" s="73"/>
      <c r="D30" s="73"/>
      <c r="E30" s="79"/>
      <c r="F30" s="79"/>
      <c r="G30" s="106"/>
      <c r="H30" s="86"/>
      <c r="I30" s="127"/>
      <c r="J30" s="118"/>
      <c r="K30" s="67"/>
    </row>
    <row r="31" spans="1:11" ht="15.75" x14ac:dyDescent="0.25">
      <c r="A31" s="121"/>
      <c r="B31" s="102"/>
      <c r="C31" s="72"/>
      <c r="D31" s="72"/>
      <c r="E31" s="87"/>
      <c r="F31" s="72" t="s">
        <v>46</v>
      </c>
      <c r="G31" s="111">
        <f>IF(H29=0,"",H29/G29)</f>
        <v>0.625</v>
      </c>
      <c r="H31" s="109"/>
      <c r="I31" s="128"/>
      <c r="J31" s="118"/>
      <c r="K31" s="67"/>
    </row>
    <row r="32" spans="1:11" ht="15.75" x14ac:dyDescent="0.25">
      <c r="A32" s="121"/>
      <c r="B32" s="102"/>
      <c r="C32" s="72"/>
      <c r="D32" s="72"/>
      <c r="E32" s="87"/>
      <c r="F32" s="72"/>
      <c r="G32" s="111"/>
      <c r="H32" s="109"/>
      <c r="I32" s="128"/>
      <c r="J32" s="118"/>
      <c r="K32" s="67"/>
    </row>
    <row r="33" spans="1:11" ht="15.6" customHeight="1" x14ac:dyDescent="0.25">
      <c r="A33" s="118"/>
      <c r="B33" s="102"/>
      <c r="C33" s="224" t="s">
        <v>80</v>
      </c>
      <c r="D33" s="225">
        <v>220</v>
      </c>
      <c r="E33" s="90" t="s">
        <v>75</v>
      </c>
      <c r="F33" s="240">
        <v>220</v>
      </c>
      <c r="G33" s="241" t="s">
        <v>75</v>
      </c>
      <c r="H33" s="241" t="s">
        <v>82</v>
      </c>
      <c r="I33" s="242"/>
      <c r="J33" s="118"/>
      <c r="K33" s="67"/>
    </row>
    <row r="34" spans="1:11" ht="18.600000000000001" customHeight="1" x14ac:dyDescent="0.35">
      <c r="A34" s="118"/>
      <c r="B34" s="102"/>
      <c r="C34" s="224" t="s">
        <v>74</v>
      </c>
      <c r="D34" s="226">
        <f>H29</f>
        <v>937.5</v>
      </c>
      <c r="E34" s="90" t="s">
        <v>118</v>
      </c>
      <c r="F34" s="84"/>
      <c r="G34" s="84"/>
      <c r="H34" s="126"/>
      <c r="I34" s="129"/>
      <c r="J34" s="118"/>
      <c r="K34" s="67"/>
    </row>
    <row r="35" spans="1:11" ht="15.75" x14ac:dyDescent="0.25">
      <c r="A35" s="118"/>
      <c r="B35" s="102"/>
      <c r="C35" s="224" t="s">
        <v>81</v>
      </c>
      <c r="D35" s="227">
        <f>D33*D6*D7/10000</f>
        <v>6.6</v>
      </c>
      <c r="E35" s="90" t="s">
        <v>111</v>
      </c>
      <c r="F35" s="84"/>
      <c r="G35" s="84"/>
      <c r="H35" s="126"/>
      <c r="I35" s="129"/>
      <c r="J35" s="124"/>
      <c r="K35" s="67"/>
    </row>
    <row r="36" spans="1:11" ht="18.75" x14ac:dyDescent="0.35">
      <c r="A36" s="118"/>
      <c r="B36" s="228" t="s">
        <v>119</v>
      </c>
      <c r="C36" s="224" t="s">
        <v>33</v>
      </c>
      <c r="D36" s="229">
        <f>IF(H29=0,"",(D35*10000)/H29)</f>
        <v>70.400000000000006</v>
      </c>
      <c r="E36" s="79" t="s">
        <v>121</v>
      </c>
      <c r="F36" s="84"/>
      <c r="G36" s="84"/>
      <c r="H36" s="126"/>
      <c r="I36" s="129"/>
      <c r="J36" s="118"/>
      <c r="K36" s="67"/>
    </row>
    <row r="37" spans="1:11" ht="19.5" x14ac:dyDescent="0.35">
      <c r="A37" s="118"/>
      <c r="B37" s="228" t="s">
        <v>120</v>
      </c>
      <c r="C37" s="108" t="s">
        <v>85</v>
      </c>
      <c r="D37" s="230">
        <f>IF(D36&lt;120, 0.00000000176*D36^6 - 0.000000725225*D36^5 + 0.000117530424*D36^4 - 0.009534898541*D36^3 + 0.416939171122*D36^2 - 11.516857750524*D36 + 366.836376040856,92)</f>
        <v>142.72406092163607</v>
      </c>
      <c r="E37" s="79" t="s">
        <v>122</v>
      </c>
      <c r="F37" s="84"/>
      <c r="G37" s="84"/>
      <c r="H37" s="126"/>
      <c r="I37" s="130"/>
      <c r="J37" s="118"/>
      <c r="K37" s="67"/>
    </row>
    <row r="38" spans="1:11" ht="15.6" customHeight="1" x14ac:dyDescent="0.25">
      <c r="A38" s="118"/>
      <c r="B38" s="231">
        <f>IF(B37&lt;120, 0.000003*B37^4-0.0008*B37^3+0.097*B37^2-6.5372*B37+345.18,92)</f>
        <v>92</v>
      </c>
      <c r="C38" s="232" t="s">
        <v>50</v>
      </c>
      <c r="D38" s="233">
        <f>IF(D37&lt;120, 0.000003*D37^4-0.0008*D37^3+0.097*D37^2-6.5372*D37+345.18,92)</f>
        <v>92</v>
      </c>
      <c r="E38" s="234" t="s">
        <v>42</v>
      </c>
      <c r="F38" s="254" t="s">
        <v>135</v>
      </c>
      <c r="G38" s="255"/>
      <c r="H38" s="255"/>
      <c r="I38" s="256"/>
      <c r="J38" s="118"/>
      <c r="K38" s="67"/>
    </row>
    <row r="39" spans="1:11" ht="15.6" customHeight="1" x14ac:dyDescent="0.25">
      <c r="A39" s="118"/>
      <c r="B39" s="102"/>
      <c r="C39" s="108" t="s">
        <v>52</v>
      </c>
      <c r="D39" s="235">
        <f>D37*D34/10000</f>
        <v>13.380380711403381</v>
      </c>
      <c r="E39" s="85" t="s">
        <v>43</v>
      </c>
      <c r="F39" s="257"/>
      <c r="G39" s="258"/>
      <c r="H39" s="258"/>
      <c r="I39" s="259"/>
      <c r="J39" s="118"/>
      <c r="K39" s="67"/>
    </row>
    <row r="40" spans="1:11" ht="15" x14ac:dyDescent="0.25">
      <c r="A40" s="118"/>
      <c r="B40" s="112"/>
      <c r="C40" s="113" t="s">
        <v>70</v>
      </c>
      <c r="D40" s="114">
        <f>IF(C36&lt;100,(POWER(C36,2)*0.0137-C36*3.1551+263.21)*$H$29/10000,100*$H$29/10000)</f>
        <v>9.375</v>
      </c>
      <c r="E40" s="131"/>
      <c r="F40" s="84"/>
      <c r="G40" s="84"/>
      <c r="H40" s="126"/>
      <c r="I40" s="129"/>
      <c r="J40" s="118"/>
      <c r="K40" s="67"/>
    </row>
    <row r="41" spans="1:11" ht="13.5" thickBot="1" x14ac:dyDescent="0.25">
      <c r="A41" s="118"/>
      <c r="B41" s="115"/>
      <c r="C41" s="116"/>
      <c r="D41" s="116"/>
      <c r="E41" s="116"/>
      <c r="F41" s="116"/>
      <c r="G41" s="117"/>
      <c r="H41" s="117"/>
      <c r="I41" s="245" t="s">
        <v>141</v>
      </c>
      <c r="J41" s="125"/>
      <c r="K41" s="67"/>
    </row>
    <row r="42" spans="1:11" ht="6" customHeight="1" x14ac:dyDescent="0.2">
      <c r="A42" s="118"/>
      <c r="B42" s="122"/>
      <c r="C42" s="122"/>
      <c r="D42" s="122"/>
      <c r="E42" s="122"/>
      <c r="F42" s="122"/>
      <c r="G42" s="119"/>
      <c r="H42" s="120"/>
      <c r="I42" s="120"/>
      <c r="J42" s="123"/>
      <c r="K42" s="67"/>
    </row>
    <row r="43" spans="1:11" x14ac:dyDescent="0.2">
      <c r="K43" s="67"/>
    </row>
    <row r="44" spans="1:11" x14ac:dyDescent="0.2">
      <c r="G44" s="67"/>
      <c r="H44" s="67"/>
      <c r="I44" s="67"/>
      <c r="J44" s="67"/>
      <c r="K44" s="67"/>
    </row>
    <row r="45" spans="1:11" x14ac:dyDescent="0.2">
      <c r="G45" s="67"/>
      <c r="H45" s="67"/>
      <c r="I45" s="67"/>
      <c r="J45" s="67"/>
      <c r="K45" s="67"/>
    </row>
    <row r="46" spans="1:11" x14ac:dyDescent="0.2">
      <c r="G46" s="67"/>
      <c r="H46" s="67"/>
      <c r="I46" s="67"/>
      <c r="J46" s="67"/>
      <c r="K46" s="67"/>
    </row>
    <row r="47" spans="1:11" x14ac:dyDescent="0.2">
      <c r="G47" s="67"/>
      <c r="H47" s="67"/>
      <c r="I47" s="67"/>
      <c r="J47" s="67"/>
      <c r="K47" s="67"/>
    </row>
    <row r="48" spans="1:11" x14ac:dyDescent="0.2">
      <c r="G48" s="67"/>
      <c r="H48" s="67"/>
      <c r="I48" s="67"/>
      <c r="J48" s="67"/>
      <c r="K48" s="67"/>
    </row>
    <row r="49" spans="7:11" x14ac:dyDescent="0.2">
      <c r="G49" s="67"/>
      <c r="H49" s="67"/>
      <c r="I49" s="67"/>
      <c r="J49" s="67"/>
      <c r="K49" s="67"/>
    </row>
    <row r="50" spans="7:11" x14ac:dyDescent="0.2">
      <c r="G50" s="67"/>
      <c r="H50" s="67"/>
      <c r="I50" s="67"/>
      <c r="J50" s="67"/>
      <c r="K50" s="67"/>
    </row>
    <row r="51" spans="7:11" x14ac:dyDescent="0.2">
      <c r="G51" s="67"/>
      <c r="H51" s="67"/>
      <c r="I51" s="67"/>
      <c r="J51" s="67"/>
      <c r="K51" s="67"/>
    </row>
  </sheetData>
  <mergeCells count="7">
    <mergeCell ref="F38:I39"/>
    <mergeCell ref="B20:B26"/>
    <mergeCell ref="C2:D2"/>
    <mergeCell ref="C3:D3"/>
    <mergeCell ref="C4:D4"/>
    <mergeCell ref="B11:B17"/>
    <mergeCell ref="C13:C16"/>
  </mergeCells>
  <pageMargins left="0.23622047244094491" right="0.23622047244094491" top="0.74803149606299213" bottom="0.74803149606299213" header="0.31496062992125984" footer="0.31496062992125984"/>
  <pageSetup paperSize="9" scale="82"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
  <sheetViews>
    <sheetView workbookViewId="0">
      <selection activeCell="C36" sqref="C36"/>
    </sheetView>
  </sheetViews>
  <sheetFormatPr baseColWidth="10" defaultRowHeight="12.75" x14ac:dyDescent="0.2"/>
  <sheetData>
    <row r="1" spans="1:3" x14ac:dyDescent="0.2">
      <c r="A1" s="166" t="s">
        <v>47</v>
      </c>
      <c r="B1" s="167">
        <v>1</v>
      </c>
      <c r="C1" s="168" t="s">
        <v>49</v>
      </c>
    </row>
    <row r="2" spans="1:3" x14ac:dyDescent="0.2">
      <c r="A2" s="133" t="s">
        <v>48</v>
      </c>
      <c r="B2" s="137">
        <f>SQRT((('5 ans Modèle'!D35/1000)/(0.97*0.62*(SQRT(2*9.81*B1))))/3.14)</f>
        <v>2.8089931561904428E-2</v>
      </c>
      <c r="C2" s="138">
        <f>B2*2*100</f>
        <v>5.6179863123808857</v>
      </c>
    </row>
    <row r="3" spans="1:3" x14ac:dyDescent="0.2">
      <c r="A3" s="133" t="s">
        <v>51</v>
      </c>
      <c r="B3" s="137"/>
      <c r="C3" s="134"/>
    </row>
    <row r="4" spans="1:3" ht="15" x14ac:dyDescent="0.2">
      <c r="A4" s="135" t="s">
        <v>83</v>
      </c>
      <c r="B4" s="139">
        <f>0.97*0.62*(3.14*(B2*B2))*SQRT(2*9.81*B1)</f>
        <v>6.6000000000000008E-3</v>
      </c>
      <c r="C4" s="13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
  <sheetViews>
    <sheetView zoomScaleNormal="100" workbookViewId="0">
      <selection activeCell="K16" sqref="K16"/>
    </sheetView>
  </sheetViews>
  <sheetFormatPr baseColWidth="10" defaultRowHeight="12.75" x14ac:dyDescent="0.2"/>
  <cols>
    <col min="1" max="1" width="15.85546875" customWidth="1"/>
  </cols>
  <sheetData>
    <row r="1" ht="12" customHeight="1" x14ac:dyDescent="0.2"/>
  </sheetData>
  <pageMargins left="0.25" right="0.25" top="0.75" bottom="0.75"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8"/>
  <sheetViews>
    <sheetView zoomScaleNormal="100" workbookViewId="0">
      <selection activeCell="P32" sqref="P32"/>
    </sheetView>
  </sheetViews>
  <sheetFormatPr baseColWidth="10" defaultColWidth="12" defaultRowHeight="12.75" x14ac:dyDescent="0.2"/>
  <cols>
    <col min="1" max="1" width="15.7109375" style="177" customWidth="1"/>
    <col min="2" max="2" width="15.7109375" style="177" hidden="1" customWidth="1"/>
    <col min="3" max="3" width="15.28515625" style="178" hidden="1" customWidth="1"/>
    <col min="4" max="4" width="12" style="177" customWidth="1"/>
    <col min="5" max="5" width="15.7109375" style="177" hidden="1" customWidth="1"/>
    <col min="6" max="6" width="15.28515625" style="177" bestFit="1" customWidth="1"/>
    <col min="7" max="254" width="12" style="177"/>
    <col min="255" max="255" width="15.42578125" style="177" customWidth="1"/>
    <col min="256" max="257" width="12" style="177"/>
    <col min="258" max="258" width="15.7109375" style="177" bestFit="1" customWidth="1"/>
    <col min="259" max="259" width="15.28515625" style="177" bestFit="1" customWidth="1"/>
    <col min="260" max="260" width="12" style="177"/>
    <col min="261" max="261" width="15.7109375" style="177" bestFit="1" customWidth="1"/>
    <col min="262" max="262" width="15.28515625" style="177" bestFit="1" customWidth="1"/>
    <col min="263" max="510" width="12" style="177"/>
    <col min="511" max="511" width="15.42578125" style="177" customWidth="1"/>
    <col min="512" max="513" width="12" style="177"/>
    <col min="514" max="514" width="15.7109375" style="177" bestFit="1" customWidth="1"/>
    <col min="515" max="515" width="15.28515625" style="177" bestFit="1" customWidth="1"/>
    <col min="516" max="516" width="12" style="177"/>
    <col min="517" max="517" width="15.7109375" style="177" bestFit="1" customWidth="1"/>
    <col min="518" max="518" width="15.28515625" style="177" bestFit="1" customWidth="1"/>
    <col min="519" max="766" width="12" style="177"/>
    <col min="767" max="767" width="15.42578125" style="177" customWidth="1"/>
    <col min="768" max="769" width="12" style="177"/>
    <col min="770" max="770" width="15.7109375" style="177" bestFit="1" customWidth="1"/>
    <col min="771" max="771" width="15.28515625" style="177" bestFit="1" customWidth="1"/>
    <col min="772" max="772" width="12" style="177"/>
    <col min="773" max="773" width="15.7109375" style="177" bestFit="1" customWidth="1"/>
    <col min="774" max="774" width="15.28515625" style="177" bestFit="1" customWidth="1"/>
    <col min="775" max="1022" width="12" style="177"/>
    <col min="1023" max="1023" width="15.42578125" style="177" customWidth="1"/>
    <col min="1024" max="1025" width="12" style="177"/>
    <col min="1026" max="1026" width="15.7109375" style="177" bestFit="1" customWidth="1"/>
    <col min="1027" max="1027" width="15.28515625" style="177" bestFit="1" customWidth="1"/>
    <col min="1028" max="1028" width="12" style="177"/>
    <col min="1029" max="1029" width="15.7109375" style="177" bestFit="1" customWidth="1"/>
    <col min="1030" max="1030" width="15.28515625" style="177" bestFit="1" customWidth="1"/>
    <col min="1031" max="1278" width="12" style="177"/>
    <col min="1279" max="1279" width="15.42578125" style="177" customWidth="1"/>
    <col min="1280" max="1281" width="12" style="177"/>
    <col min="1282" max="1282" width="15.7109375" style="177" bestFit="1" customWidth="1"/>
    <col min="1283" max="1283" width="15.28515625" style="177" bestFit="1" customWidth="1"/>
    <col min="1284" max="1284" width="12" style="177"/>
    <col min="1285" max="1285" width="15.7109375" style="177" bestFit="1" customWidth="1"/>
    <col min="1286" max="1286" width="15.28515625" style="177" bestFit="1" customWidth="1"/>
    <col min="1287" max="1534" width="12" style="177"/>
    <col min="1535" max="1535" width="15.42578125" style="177" customWidth="1"/>
    <col min="1536" max="1537" width="12" style="177"/>
    <col min="1538" max="1538" width="15.7109375" style="177" bestFit="1" customWidth="1"/>
    <col min="1539" max="1539" width="15.28515625" style="177" bestFit="1" customWidth="1"/>
    <col min="1540" max="1540" width="12" style="177"/>
    <col min="1541" max="1541" width="15.7109375" style="177" bestFit="1" customWidth="1"/>
    <col min="1542" max="1542" width="15.28515625" style="177" bestFit="1" customWidth="1"/>
    <col min="1543" max="1790" width="12" style="177"/>
    <col min="1791" max="1791" width="15.42578125" style="177" customWidth="1"/>
    <col min="1792" max="1793" width="12" style="177"/>
    <col min="1794" max="1794" width="15.7109375" style="177" bestFit="1" customWidth="1"/>
    <col min="1795" max="1795" width="15.28515625" style="177" bestFit="1" customWidth="1"/>
    <col min="1796" max="1796" width="12" style="177"/>
    <col min="1797" max="1797" width="15.7109375" style="177" bestFit="1" customWidth="1"/>
    <col min="1798" max="1798" width="15.28515625" style="177" bestFit="1" customWidth="1"/>
    <col min="1799" max="2046" width="12" style="177"/>
    <col min="2047" max="2047" width="15.42578125" style="177" customWidth="1"/>
    <col min="2048" max="2049" width="12" style="177"/>
    <col min="2050" max="2050" width="15.7109375" style="177" bestFit="1" customWidth="1"/>
    <col min="2051" max="2051" width="15.28515625" style="177" bestFit="1" customWidth="1"/>
    <col min="2052" max="2052" width="12" style="177"/>
    <col min="2053" max="2053" width="15.7109375" style="177" bestFit="1" customWidth="1"/>
    <col min="2054" max="2054" width="15.28515625" style="177" bestFit="1" customWidth="1"/>
    <col min="2055" max="2302" width="12" style="177"/>
    <col min="2303" max="2303" width="15.42578125" style="177" customWidth="1"/>
    <col min="2304" max="2305" width="12" style="177"/>
    <col min="2306" max="2306" width="15.7109375" style="177" bestFit="1" customWidth="1"/>
    <col min="2307" max="2307" width="15.28515625" style="177" bestFit="1" customWidth="1"/>
    <col min="2308" max="2308" width="12" style="177"/>
    <col min="2309" max="2309" width="15.7109375" style="177" bestFit="1" customWidth="1"/>
    <col min="2310" max="2310" width="15.28515625" style="177" bestFit="1" customWidth="1"/>
    <col min="2311" max="2558" width="12" style="177"/>
    <col min="2559" max="2559" width="15.42578125" style="177" customWidth="1"/>
    <col min="2560" max="2561" width="12" style="177"/>
    <col min="2562" max="2562" width="15.7109375" style="177" bestFit="1" customWidth="1"/>
    <col min="2563" max="2563" width="15.28515625" style="177" bestFit="1" customWidth="1"/>
    <col min="2564" max="2564" width="12" style="177"/>
    <col min="2565" max="2565" width="15.7109375" style="177" bestFit="1" customWidth="1"/>
    <col min="2566" max="2566" width="15.28515625" style="177" bestFit="1" customWidth="1"/>
    <col min="2567" max="2814" width="12" style="177"/>
    <col min="2815" max="2815" width="15.42578125" style="177" customWidth="1"/>
    <col min="2816" max="2817" width="12" style="177"/>
    <col min="2818" max="2818" width="15.7109375" style="177" bestFit="1" customWidth="1"/>
    <col min="2819" max="2819" width="15.28515625" style="177" bestFit="1" customWidth="1"/>
    <col min="2820" max="2820" width="12" style="177"/>
    <col min="2821" max="2821" width="15.7109375" style="177" bestFit="1" customWidth="1"/>
    <col min="2822" max="2822" width="15.28515625" style="177" bestFit="1" customWidth="1"/>
    <col min="2823" max="3070" width="12" style="177"/>
    <col min="3071" max="3071" width="15.42578125" style="177" customWidth="1"/>
    <col min="3072" max="3073" width="12" style="177"/>
    <col min="3074" max="3074" width="15.7109375" style="177" bestFit="1" customWidth="1"/>
    <col min="3075" max="3075" width="15.28515625" style="177" bestFit="1" customWidth="1"/>
    <col min="3076" max="3076" width="12" style="177"/>
    <col min="3077" max="3077" width="15.7109375" style="177" bestFit="1" customWidth="1"/>
    <col min="3078" max="3078" width="15.28515625" style="177" bestFit="1" customWidth="1"/>
    <col min="3079" max="3326" width="12" style="177"/>
    <col min="3327" max="3327" width="15.42578125" style="177" customWidth="1"/>
    <col min="3328" max="3329" width="12" style="177"/>
    <col min="3330" max="3330" width="15.7109375" style="177" bestFit="1" customWidth="1"/>
    <col min="3331" max="3331" width="15.28515625" style="177" bestFit="1" customWidth="1"/>
    <col min="3332" max="3332" width="12" style="177"/>
    <col min="3333" max="3333" width="15.7109375" style="177" bestFit="1" customWidth="1"/>
    <col min="3334" max="3334" width="15.28515625" style="177" bestFit="1" customWidth="1"/>
    <col min="3335" max="3582" width="12" style="177"/>
    <col min="3583" max="3583" width="15.42578125" style="177" customWidth="1"/>
    <col min="3584" max="3585" width="12" style="177"/>
    <col min="3586" max="3586" width="15.7109375" style="177" bestFit="1" customWidth="1"/>
    <col min="3587" max="3587" width="15.28515625" style="177" bestFit="1" customWidth="1"/>
    <col min="3588" max="3588" width="12" style="177"/>
    <col min="3589" max="3589" width="15.7109375" style="177" bestFit="1" customWidth="1"/>
    <col min="3590" max="3590" width="15.28515625" style="177" bestFit="1" customWidth="1"/>
    <col min="3591" max="3838" width="12" style="177"/>
    <col min="3839" max="3839" width="15.42578125" style="177" customWidth="1"/>
    <col min="3840" max="3841" width="12" style="177"/>
    <col min="3842" max="3842" width="15.7109375" style="177" bestFit="1" customWidth="1"/>
    <col min="3843" max="3843" width="15.28515625" style="177" bestFit="1" customWidth="1"/>
    <col min="3844" max="3844" width="12" style="177"/>
    <col min="3845" max="3845" width="15.7109375" style="177" bestFit="1" customWidth="1"/>
    <col min="3846" max="3846" width="15.28515625" style="177" bestFit="1" customWidth="1"/>
    <col min="3847" max="4094" width="12" style="177"/>
    <col min="4095" max="4095" width="15.42578125" style="177" customWidth="1"/>
    <col min="4096" max="4097" width="12" style="177"/>
    <col min="4098" max="4098" width="15.7109375" style="177" bestFit="1" customWidth="1"/>
    <col min="4099" max="4099" width="15.28515625" style="177" bestFit="1" customWidth="1"/>
    <col min="4100" max="4100" width="12" style="177"/>
    <col min="4101" max="4101" width="15.7109375" style="177" bestFit="1" customWidth="1"/>
    <col min="4102" max="4102" width="15.28515625" style="177" bestFit="1" customWidth="1"/>
    <col min="4103" max="4350" width="12" style="177"/>
    <col min="4351" max="4351" width="15.42578125" style="177" customWidth="1"/>
    <col min="4352" max="4353" width="12" style="177"/>
    <col min="4354" max="4354" width="15.7109375" style="177" bestFit="1" customWidth="1"/>
    <col min="4355" max="4355" width="15.28515625" style="177" bestFit="1" customWidth="1"/>
    <col min="4356" max="4356" width="12" style="177"/>
    <col min="4357" max="4357" width="15.7109375" style="177" bestFit="1" customWidth="1"/>
    <col min="4358" max="4358" width="15.28515625" style="177" bestFit="1" customWidth="1"/>
    <col min="4359" max="4606" width="12" style="177"/>
    <col min="4607" max="4607" width="15.42578125" style="177" customWidth="1"/>
    <col min="4608" max="4609" width="12" style="177"/>
    <col min="4610" max="4610" width="15.7109375" style="177" bestFit="1" customWidth="1"/>
    <col min="4611" max="4611" width="15.28515625" style="177" bestFit="1" customWidth="1"/>
    <col min="4612" max="4612" width="12" style="177"/>
    <col min="4613" max="4613" width="15.7109375" style="177" bestFit="1" customWidth="1"/>
    <col min="4614" max="4614" width="15.28515625" style="177" bestFit="1" customWidth="1"/>
    <col min="4615" max="4862" width="12" style="177"/>
    <col min="4863" max="4863" width="15.42578125" style="177" customWidth="1"/>
    <col min="4864" max="4865" width="12" style="177"/>
    <col min="4866" max="4866" width="15.7109375" style="177" bestFit="1" customWidth="1"/>
    <col min="4867" max="4867" width="15.28515625" style="177" bestFit="1" customWidth="1"/>
    <col min="4868" max="4868" width="12" style="177"/>
    <col min="4869" max="4869" width="15.7109375" style="177" bestFit="1" customWidth="1"/>
    <col min="4870" max="4870" width="15.28515625" style="177" bestFit="1" customWidth="1"/>
    <col min="4871" max="5118" width="12" style="177"/>
    <col min="5119" max="5119" width="15.42578125" style="177" customWidth="1"/>
    <col min="5120" max="5121" width="12" style="177"/>
    <col min="5122" max="5122" width="15.7109375" style="177" bestFit="1" customWidth="1"/>
    <col min="5123" max="5123" width="15.28515625" style="177" bestFit="1" customWidth="1"/>
    <col min="5124" max="5124" width="12" style="177"/>
    <col min="5125" max="5125" width="15.7109375" style="177" bestFit="1" customWidth="1"/>
    <col min="5126" max="5126" width="15.28515625" style="177" bestFit="1" customWidth="1"/>
    <col min="5127" max="5374" width="12" style="177"/>
    <col min="5375" max="5375" width="15.42578125" style="177" customWidth="1"/>
    <col min="5376" max="5377" width="12" style="177"/>
    <col min="5378" max="5378" width="15.7109375" style="177" bestFit="1" customWidth="1"/>
    <col min="5379" max="5379" width="15.28515625" style="177" bestFit="1" customWidth="1"/>
    <col min="5380" max="5380" width="12" style="177"/>
    <col min="5381" max="5381" width="15.7109375" style="177" bestFit="1" customWidth="1"/>
    <col min="5382" max="5382" width="15.28515625" style="177" bestFit="1" customWidth="1"/>
    <col min="5383" max="5630" width="12" style="177"/>
    <col min="5631" max="5631" width="15.42578125" style="177" customWidth="1"/>
    <col min="5632" max="5633" width="12" style="177"/>
    <col min="5634" max="5634" width="15.7109375" style="177" bestFit="1" customWidth="1"/>
    <col min="5635" max="5635" width="15.28515625" style="177" bestFit="1" customWidth="1"/>
    <col min="5636" max="5636" width="12" style="177"/>
    <col min="5637" max="5637" width="15.7109375" style="177" bestFit="1" customWidth="1"/>
    <col min="5638" max="5638" width="15.28515625" style="177" bestFit="1" customWidth="1"/>
    <col min="5639" max="5886" width="12" style="177"/>
    <col min="5887" max="5887" width="15.42578125" style="177" customWidth="1"/>
    <col min="5888" max="5889" width="12" style="177"/>
    <col min="5890" max="5890" width="15.7109375" style="177" bestFit="1" customWidth="1"/>
    <col min="5891" max="5891" width="15.28515625" style="177" bestFit="1" customWidth="1"/>
    <col min="5892" max="5892" width="12" style="177"/>
    <col min="5893" max="5893" width="15.7109375" style="177" bestFit="1" customWidth="1"/>
    <col min="5894" max="5894" width="15.28515625" style="177" bestFit="1" customWidth="1"/>
    <col min="5895" max="6142" width="12" style="177"/>
    <col min="6143" max="6143" width="15.42578125" style="177" customWidth="1"/>
    <col min="6144" max="6145" width="12" style="177"/>
    <col min="6146" max="6146" width="15.7109375" style="177" bestFit="1" customWidth="1"/>
    <col min="6147" max="6147" width="15.28515625" style="177" bestFit="1" customWidth="1"/>
    <col min="6148" max="6148" width="12" style="177"/>
    <col min="6149" max="6149" width="15.7109375" style="177" bestFit="1" customWidth="1"/>
    <col min="6150" max="6150" width="15.28515625" style="177" bestFit="1" customWidth="1"/>
    <col min="6151" max="6398" width="12" style="177"/>
    <col min="6399" max="6399" width="15.42578125" style="177" customWidth="1"/>
    <col min="6400" max="6401" width="12" style="177"/>
    <col min="6402" max="6402" width="15.7109375" style="177" bestFit="1" customWidth="1"/>
    <col min="6403" max="6403" width="15.28515625" style="177" bestFit="1" customWidth="1"/>
    <col min="6404" max="6404" width="12" style="177"/>
    <col min="6405" max="6405" width="15.7109375" style="177" bestFit="1" customWidth="1"/>
    <col min="6406" max="6406" width="15.28515625" style="177" bestFit="1" customWidth="1"/>
    <col min="6407" max="6654" width="12" style="177"/>
    <col min="6655" max="6655" width="15.42578125" style="177" customWidth="1"/>
    <col min="6656" max="6657" width="12" style="177"/>
    <col min="6658" max="6658" width="15.7109375" style="177" bestFit="1" customWidth="1"/>
    <col min="6659" max="6659" width="15.28515625" style="177" bestFit="1" customWidth="1"/>
    <col min="6660" max="6660" width="12" style="177"/>
    <col min="6661" max="6661" width="15.7109375" style="177" bestFit="1" customWidth="1"/>
    <col min="6662" max="6662" width="15.28515625" style="177" bestFit="1" customWidth="1"/>
    <col min="6663" max="6910" width="12" style="177"/>
    <col min="6911" max="6911" width="15.42578125" style="177" customWidth="1"/>
    <col min="6912" max="6913" width="12" style="177"/>
    <col min="6914" max="6914" width="15.7109375" style="177" bestFit="1" customWidth="1"/>
    <col min="6915" max="6915" width="15.28515625" style="177" bestFit="1" customWidth="1"/>
    <col min="6916" max="6916" width="12" style="177"/>
    <col min="6917" max="6917" width="15.7109375" style="177" bestFit="1" customWidth="1"/>
    <col min="6918" max="6918" width="15.28515625" style="177" bestFit="1" customWidth="1"/>
    <col min="6919" max="7166" width="12" style="177"/>
    <col min="7167" max="7167" width="15.42578125" style="177" customWidth="1"/>
    <col min="7168" max="7169" width="12" style="177"/>
    <col min="7170" max="7170" width="15.7109375" style="177" bestFit="1" customWidth="1"/>
    <col min="7171" max="7171" width="15.28515625" style="177" bestFit="1" customWidth="1"/>
    <col min="7172" max="7172" width="12" style="177"/>
    <col min="7173" max="7173" width="15.7109375" style="177" bestFit="1" customWidth="1"/>
    <col min="7174" max="7174" width="15.28515625" style="177" bestFit="1" customWidth="1"/>
    <col min="7175" max="7422" width="12" style="177"/>
    <col min="7423" max="7423" width="15.42578125" style="177" customWidth="1"/>
    <col min="7424" max="7425" width="12" style="177"/>
    <col min="7426" max="7426" width="15.7109375" style="177" bestFit="1" customWidth="1"/>
    <col min="7427" max="7427" width="15.28515625" style="177" bestFit="1" customWidth="1"/>
    <col min="7428" max="7428" width="12" style="177"/>
    <col min="7429" max="7429" width="15.7109375" style="177" bestFit="1" customWidth="1"/>
    <col min="7430" max="7430" width="15.28515625" style="177" bestFit="1" customWidth="1"/>
    <col min="7431" max="7678" width="12" style="177"/>
    <col min="7679" max="7679" width="15.42578125" style="177" customWidth="1"/>
    <col min="7680" max="7681" width="12" style="177"/>
    <col min="7682" max="7682" width="15.7109375" style="177" bestFit="1" customWidth="1"/>
    <col min="7683" max="7683" width="15.28515625" style="177" bestFit="1" customWidth="1"/>
    <col min="7684" max="7684" width="12" style="177"/>
    <col min="7685" max="7685" width="15.7109375" style="177" bestFit="1" customWidth="1"/>
    <col min="7686" max="7686" width="15.28515625" style="177" bestFit="1" customWidth="1"/>
    <col min="7687" max="7934" width="12" style="177"/>
    <col min="7935" max="7935" width="15.42578125" style="177" customWidth="1"/>
    <col min="7936" max="7937" width="12" style="177"/>
    <col min="7938" max="7938" width="15.7109375" style="177" bestFit="1" customWidth="1"/>
    <col min="7939" max="7939" width="15.28515625" style="177" bestFit="1" customWidth="1"/>
    <col min="7940" max="7940" width="12" style="177"/>
    <col min="7941" max="7941" width="15.7109375" style="177" bestFit="1" customWidth="1"/>
    <col min="7942" max="7942" width="15.28515625" style="177" bestFit="1" customWidth="1"/>
    <col min="7943" max="8190" width="12" style="177"/>
    <col min="8191" max="8191" width="15.42578125" style="177" customWidth="1"/>
    <col min="8192" max="8193" width="12" style="177"/>
    <col min="8194" max="8194" width="15.7109375" style="177" bestFit="1" customWidth="1"/>
    <col min="8195" max="8195" width="15.28515625" style="177" bestFit="1" customWidth="1"/>
    <col min="8196" max="8196" width="12" style="177"/>
    <col min="8197" max="8197" width="15.7109375" style="177" bestFit="1" customWidth="1"/>
    <col min="8198" max="8198" width="15.28515625" style="177" bestFit="1" customWidth="1"/>
    <col min="8199" max="8446" width="12" style="177"/>
    <col min="8447" max="8447" width="15.42578125" style="177" customWidth="1"/>
    <col min="8448" max="8449" width="12" style="177"/>
    <col min="8450" max="8450" width="15.7109375" style="177" bestFit="1" customWidth="1"/>
    <col min="8451" max="8451" width="15.28515625" style="177" bestFit="1" customWidth="1"/>
    <col min="8452" max="8452" width="12" style="177"/>
    <col min="8453" max="8453" width="15.7109375" style="177" bestFit="1" customWidth="1"/>
    <col min="8454" max="8454" width="15.28515625" style="177" bestFit="1" customWidth="1"/>
    <col min="8455" max="8702" width="12" style="177"/>
    <col min="8703" max="8703" width="15.42578125" style="177" customWidth="1"/>
    <col min="8704" max="8705" width="12" style="177"/>
    <col min="8706" max="8706" width="15.7109375" style="177" bestFit="1" customWidth="1"/>
    <col min="8707" max="8707" width="15.28515625" style="177" bestFit="1" customWidth="1"/>
    <col min="8708" max="8708" width="12" style="177"/>
    <col min="8709" max="8709" width="15.7109375" style="177" bestFit="1" customWidth="1"/>
    <col min="8710" max="8710" width="15.28515625" style="177" bestFit="1" customWidth="1"/>
    <col min="8711" max="8958" width="12" style="177"/>
    <col min="8959" max="8959" width="15.42578125" style="177" customWidth="1"/>
    <col min="8960" max="8961" width="12" style="177"/>
    <col min="8962" max="8962" width="15.7109375" style="177" bestFit="1" customWidth="1"/>
    <col min="8963" max="8963" width="15.28515625" style="177" bestFit="1" customWidth="1"/>
    <col min="8964" max="8964" width="12" style="177"/>
    <col min="8965" max="8965" width="15.7109375" style="177" bestFit="1" customWidth="1"/>
    <col min="8966" max="8966" width="15.28515625" style="177" bestFit="1" customWidth="1"/>
    <col min="8967" max="9214" width="12" style="177"/>
    <col min="9215" max="9215" width="15.42578125" style="177" customWidth="1"/>
    <col min="9216" max="9217" width="12" style="177"/>
    <col min="9218" max="9218" width="15.7109375" style="177" bestFit="1" customWidth="1"/>
    <col min="9219" max="9219" width="15.28515625" style="177" bestFit="1" customWidth="1"/>
    <col min="9220" max="9220" width="12" style="177"/>
    <col min="9221" max="9221" width="15.7109375" style="177" bestFit="1" customWidth="1"/>
    <col min="9222" max="9222" width="15.28515625" style="177" bestFit="1" customWidth="1"/>
    <col min="9223" max="9470" width="12" style="177"/>
    <col min="9471" max="9471" width="15.42578125" style="177" customWidth="1"/>
    <col min="9472" max="9473" width="12" style="177"/>
    <col min="9474" max="9474" width="15.7109375" style="177" bestFit="1" customWidth="1"/>
    <col min="9475" max="9475" width="15.28515625" style="177" bestFit="1" customWidth="1"/>
    <col min="9476" max="9476" width="12" style="177"/>
    <col min="9477" max="9477" width="15.7109375" style="177" bestFit="1" customWidth="1"/>
    <col min="9478" max="9478" width="15.28515625" style="177" bestFit="1" customWidth="1"/>
    <col min="9479" max="9726" width="12" style="177"/>
    <col min="9727" max="9727" width="15.42578125" style="177" customWidth="1"/>
    <col min="9728" max="9729" width="12" style="177"/>
    <col min="9730" max="9730" width="15.7109375" style="177" bestFit="1" customWidth="1"/>
    <col min="9731" max="9731" width="15.28515625" style="177" bestFit="1" customWidth="1"/>
    <col min="9732" max="9732" width="12" style="177"/>
    <col min="9733" max="9733" width="15.7109375" style="177" bestFit="1" customWidth="1"/>
    <col min="9734" max="9734" width="15.28515625" style="177" bestFit="1" customWidth="1"/>
    <col min="9735" max="9982" width="12" style="177"/>
    <col min="9983" max="9983" width="15.42578125" style="177" customWidth="1"/>
    <col min="9984" max="9985" width="12" style="177"/>
    <col min="9986" max="9986" width="15.7109375" style="177" bestFit="1" customWidth="1"/>
    <col min="9987" max="9987" width="15.28515625" style="177" bestFit="1" customWidth="1"/>
    <col min="9988" max="9988" width="12" style="177"/>
    <col min="9989" max="9989" width="15.7109375" style="177" bestFit="1" customWidth="1"/>
    <col min="9990" max="9990" width="15.28515625" style="177" bestFit="1" customWidth="1"/>
    <col min="9991" max="10238" width="12" style="177"/>
    <col min="10239" max="10239" width="15.42578125" style="177" customWidth="1"/>
    <col min="10240" max="10241" width="12" style="177"/>
    <col min="10242" max="10242" width="15.7109375" style="177" bestFit="1" customWidth="1"/>
    <col min="10243" max="10243" width="15.28515625" style="177" bestFit="1" customWidth="1"/>
    <col min="10244" max="10244" width="12" style="177"/>
    <col min="10245" max="10245" width="15.7109375" style="177" bestFit="1" customWidth="1"/>
    <col min="10246" max="10246" width="15.28515625" style="177" bestFit="1" customWidth="1"/>
    <col min="10247" max="10494" width="12" style="177"/>
    <col min="10495" max="10495" width="15.42578125" style="177" customWidth="1"/>
    <col min="10496" max="10497" width="12" style="177"/>
    <col min="10498" max="10498" width="15.7109375" style="177" bestFit="1" customWidth="1"/>
    <col min="10499" max="10499" width="15.28515625" style="177" bestFit="1" customWidth="1"/>
    <col min="10500" max="10500" width="12" style="177"/>
    <col min="10501" max="10501" width="15.7109375" style="177" bestFit="1" customWidth="1"/>
    <col min="10502" max="10502" width="15.28515625" style="177" bestFit="1" customWidth="1"/>
    <col min="10503" max="10750" width="12" style="177"/>
    <col min="10751" max="10751" width="15.42578125" style="177" customWidth="1"/>
    <col min="10752" max="10753" width="12" style="177"/>
    <col min="10754" max="10754" width="15.7109375" style="177" bestFit="1" customWidth="1"/>
    <col min="10755" max="10755" width="15.28515625" style="177" bestFit="1" customWidth="1"/>
    <col min="10756" max="10756" width="12" style="177"/>
    <col min="10757" max="10757" width="15.7109375" style="177" bestFit="1" customWidth="1"/>
    <col min="10758" max="10758" width="15.28515625" style="177" bestFit="1" customWidth="1"/>
    <col min="10759" max="11006" width="12" style="177"/>
    <col min="11007" max="11007" width="15.42578125" style="177" customWidth="1"/>
    <col min="11008" max="11009" width="12" style="177"/>
    <col min="11010" max="11010" width="15.7109375" style="177" bestFit="1" customWidth="1"/>
    <col min="11011" max="11011" width="15.28515625" style="177" bestFit="1" customWidth="1"/>
    <col min="11012" max="11012" width="12" style="177"/>
    <col min="11013" max="11013" width="15.7109375" style="177" bestFit="1" customWidth="1"/>
    <col min="11014" max="11014" width="15.28515625" style="177" bestFit="1" customWidth="1"/>
    <col min="11015" max="11262" width="12" style="177"/>
    <col min="11263" max="11263" width="15.42578125" style="177" customWidth="1"/>
    <col min="11264" max="11265" width="12" style="177"/>
    <col min="11266" max="11266" width="15.7109375" style="177" bestFit="1" customWidth="1"/>
    <col min="11267" max="11267" width="15.28515625" style="177" bestFit="1" customWidth="1"/>
    <col min="11268" max="11268" width="12" style="177"/>
    <col min="11269" max="11269" width="15.7109375" style="177" bestFit="1" customWidth="1"/>
    <col min="11270" max="11270" width="15.28515625" style="177" bestFit="1" customWidth="1"/>
    <col min="11271" max="11518" width="12" style="177"/>
    <col min="11519" max="11519" width="15.42578125" style="177" customWidth="1"/>
    <col min="11520" max="11521" width="12" style="177"/>
    <col min="11522" max="11522" width="15.7109375" style="177" bestFit="1" customWidth="1"/>
    <col min="11523" max="11523" width="15.28515625" style="177" bestFit="1" customWidth="1"/>
    <col min="11524" max="11524" width="12" style="177"/>
    <col min="11525" max="11525" width="15.7109375" style="177" bestFit="1" customWidth="1"/>
    <col min="11526" max="11526" width="15.28515625" style="177" bestFit="1" customWidth="1"/>
    <col min="11527" max="11774" width="12" style="177"/>
    <col min="11775" max="11775" width="15.42578125" style="177" customWidth="1"/>
    <col min="11776" max="11777" width="12" style="177"/>
    <col min="11778" max="11778" width="15.7109375" style="177" bestFit="1" customWidth="1"/>
    <col min="11779" max="11779" width="15.28515625" style="177" bestFit="1" customWidth="1"/>
    <col min="11780" max="11780" width="12" style="177"/>
    <col min="11781" max="11781" width="15.7109375" style="177" bestFit="1" customWidth="1"/>
    <col min="11782" max="11782" width="15.28515625" style="177" bestFit="1" customWidth="1"/>
    <col min="11783" max="12030" width="12" style="177"/>
    <col min="12031" max="12031" width="15.42578125" style="177" customWidth="1"/>
    <col min="12032" max="12033" width="12" style="177"/>
    <col min="12034" max="12034" width="15.7109375" style="177" bestFit="1" customWidth="1"/>
    <col min="12035" max="12035" width="15.28515625" style="177" bestFit="1" customWidth="1"/>
    <col min="12036" max="12036" width="12" style="177"/>
    <col min="12037" max="12037" width="15.7109375" style="177" bestFit="1" customWidth="1"/>
    <col min="12038" max="12038" width="15.28515625" style="177" bestFit="1" customWidth="1"/>
    <col min="12039" max="12286" width="12" style="177"/>
    <col min="12287" max="12287" width="15.42578125" style="177" customWidth="1"/>
    <col min="12288" max="12289" width="12" style="177"/>
    <col min="12290" max="12290" width="15.7109375" style="177" bestFit="1" customWidth="1"/>
    <col min="12291" max="12291" width="15.28515625" style="177" bestFit="1" customWidth="1"/>
    <col min="12292" max="12292" width="12" style="177"/>
    <col min="12293" max="12293" width="15.7109375" style="177" bestFit="1" customWidth="1"/>
    <col min="12294" max="12294" width="15.28515625" style="177" bestFit="1" customWidth="1"/>
    <col min="12295" max="12542" width="12" style="177"/>
    <col min="12543" max="12543" width="15.42578125" style="177" customWidth="1"/>
    <col min="12544" max="12545" width="12" style="177"/>
    <col min="12546" max="12546" width="15.7109375" style="177" bestFit="1" customWidth="1"/>
    <col min="12547" max="12547" width="15.28515625" style="177" bestFit="1" customWidth="1"/>
    <col min="12548" max="12548" width="12" style="177"/>
    <col min="12549" max="12549" width="15.7109375" style="177" bestFit="1" customWidth="1"/>
    <col min="12550" max="12550" width="15.28515625" style="177" bestFit="1" customWidth="1"/>
    <col min="12551" max="12798" width="12" style="177"/>
    <col min="12799" max="12799" width="15.42578125" style="177" customWidth="1"/>
    <col min="12800" max="12801" width="12" style="177"/>
    <col min="12802" max="12802" width="15.7109375" style="177" bestFit="1" customWidth="1"/>
    <col min="12803" max="12803" width="15.28515625" style="177" bestFit="1" customWidth="1"/>
    <col min="12804" max="12804" width="12" style="177"/>
    <col min="12805" max="12805" width="15.7109375" style="177" bestFit="1" customWidth="1"/>
    <col min="12806" max="12806" width="15.28515625" style="177" bestFit="1" customWidth="1"/>
    <col min="12807" max="13054" width="12" style="177"/>
    <col min="13055" max="13055" width="15.42578125" style="177" customWidth="1"/>
    <col min="13056" max="13057" width="12" style="177"/>
    <col min="13058" max="13058" width="15.7109375" style="177" bestFit="1" customWidth="1"/>
    <col min="13059" max="13059" width="15.28515625" style="177" bestFit="1" customWidth="1"/>
    <col min="13060" max="13060" width="12" style="177"/>
    <col min="13061" max="13061" width="15.7109375" style="177" bestFit="1" customWidth="1"/>
    <col min="13062" max="13062" width="15.28515625" style="177" bestFit="1" customWidth="1"/>
    <col min="13063" max="13310" width="12" style="177"/>
    <col min="13311" max="13311" width="15.42578125" style="177" customWidth="1"/>
    <col min="13312" max="13313" width="12" style="177"/>
    <col min="13314" max="13314" width="15.7109375" style="177" bestFit="1" customWidth="1"/>
    <col min="13315" max="13315" width="15.28515625" style="177" bestFit="1" customWidth="1"/>
    <col min="13316" max="13316" width="12" style="177"/>
    <col min="13317" max="13317" width="15.7109375" style="177" bestFit="1" customWidth="1"/>
    <col min="13318" max="13318" width="15.28515625" style="177" bestFit="1" customWidth="1"/>
    <col min="13319" max="13566" width="12" style="177"/>
    <col min="13567" max="13567" width="15.42578125" style="177" customWidth="1"/>
    <col min="13568" max="13569" width="12" style="177"/>
    <col min="13570" max="13570" width="15.7109375" style="177" bestFit="1" customWidth="1"/>
    <col min="13571" max="13571" width="15.28515625" style="177" bestFit="1" customWidth="1"/>
    <col min="13572" max="13572" width="12" style="177"/>
    <col min="13573" max="13573" width="15.7109375" style="177" bestFit="1" customWidth="1"/>
    <col min="13574" max="13574" width="15.28515625" style="177" bestFit="1" customWidth="1"/>
    <col min="13575" max="13822" width="12" style="177"/>
    <col min="13823" max="13823" width="15.42578125" style="177" customWidth="1"/>
    <col min="13824" max="13825" width="12" style="177"/>
    <col min="13826" max="13826" width="15.7109375" style="177" bestFit="1" customWidth="1"/>
    <col min="13827" max="13827" width="15.28515625" style="177" bestFit="1" customWidth="1"/>
    <col min="13828" max="13828" width="12" style="177"/>
    <col min="13829" max="13829" width="15.7109375" style="177" bestFit="1" customWidth="1"/>
    <col min="13830" max="13830" width="15.28515625" style="177" bestFit="1" customWidth="1"/>
    <col min="13831" max="14078" width="12" style="177"/>
    <col min="14079" max="14079" width="15.42578125" style="177" customWidth="1"/>
    <col min="14080" max="14081" width="12" style="177"/>
    <col min="14082" max="14082" width="15.7109375" style="177" bestFit="1" customWidth="1"/>
    <col min="14083" max="14083" width="15.28515625" style="177" bestFit="1" customWidth="1"/>
    <col min="14084" max="14084" width="12" style="177"/>
    <col min="14085" max="14085" width="15.7109375" style="177" bestFit="1" customWidth="1"/>
    <col min="14086" max="14086" width="15.28515625" style="177" bestFit="1" customWidth="1"/>
    <col min="14087" max="14334" width="12" style="177"/>
    <col min="14335" max="14335" width="15.42578125" style="177" customWidth="1"/>
    <col min="14336" max="14337" width="12" style="177"/>
    <col min="14338" max="14338" width="15.7109375" style="177" bestFit="1" customWidth="1"/>
    <col min="14339" max="14339" width="15.28515625" style="177" bestFit="1" customWidth="1"/>
    <col min="14340" max="14340" width="12" style="177"/>
    <col min="14341" max="14341" width="15.7109375" style="177" bestFit="1" customWidth="1"/>
    <col min="14342" max="14342" width="15.28515625" style="177" bestFit="1" customWidth="1"/>
    <col min="14343" max="14590" width="12" style="177"/>
    <col min="14591" max="14591" width="15.42578125" style="177" customWidth="1"/>
    <col min="14592" max="14593" width="12" style="177"/>
    <col min="14594" max="14594" width="15.7109375" style="177" bestFit="1" customWidth="1"/>
    <col min="14595" max="14595" width="15.28515625" style="177" bestFit="1" customWidth="1"/>
    <col min="14596" max="14596" width="12" style="177"/>
    <col min="14597" max="14597" width="15.7109375" style="177" bestFit="1" customWidth="1"/>
    <col min="14598" max="14598" width="15.28515625" style="177" bestFit="1" customWidth="1"/>
    <col min="14599" max="14846" width="12" style="177"/>
    <col min="14847" max="14847" width="15.42578125" style="177" customWidth="1"/>
    <col min="14848" max="14849" width="12" style="177"/>
    <col min="14850" max="14850" width="15.7109375" style="177" bestFit="1" customWidth="1"/>
    <col min="14851" max="14851" width="15.28515625" style="177" bestFit="1" customWidth="1"/>
    <col min="14852" max="14852" width="12" style="177"/>
    <col min="14853" max="14853" width="15.7109375" style="177" bestFit="1" customWidth="1"/>
    <col min="14854" max="14854" width="15.28515625" style="177" bestFit="1" customWidth="1"/>
    <col min="14855" max="15102" width="12" style="177"/>
    <col min="15103" max="15103" width="15.42578125" style="177" customWidth="1"/>
    <col min="15104" max="15105" width="12" style="177"/>
    <col min="15106" max="15106" width="15.7109375" style="177" bestFit="1" customWidth="1"/>
    <col min="15107" max="15107" width="15.28515625" style="177" bestFit="1" customWidth="1"/>
    <col min="15108" max="15108" width="12" style="177"/>
    <col min="15109" max="15109" width="15.7109375" style="177" bestFit="1" customWidth="1"/>
    <col min="15110" max="15110" width="15.28515625" style="177" bestFit="1" customWidth="1"/>
    <col min="15111" max="15358" width="12" style="177"/>
    <col min="15359" max="15359" width="15.42578125" style="177" customWidth="1"/>
    <col min="15360" max="15361" width="12" style="177"/>
    <col min="15362" max="15362" width="15.7109375" style="177" bestFit="1" customWidth="1"/>
    <col min="15363" max="15363" width="15.28515625" style="177" bestFit="1" customWidth="1"/>
    <col min="15364" max="15364" width="12" style="177"/>
    <col min="15365" max="15365" width="15.7109375" style="177" bestFit="1" customWidth="1"/>
    <col min="15366" max="15366" width="15.28515625" style="177" bestFit="1" customWidth="1"/>
    <col min="15367" max="15614" width="12" style="177"/>
    <col min="15615" max="15615" width="15.42578125" style="177" customWidth="1"/>
    <col min="15616" max="15617" width="12" style="177"/>
    <col min="15618" max="15618" width="15.7109375" style="177" bestFit="1" customWidth="1"/>
    <col min="15619" max="15619" width="15.28515625" style="177" bestFit="1" customWidth="1"/>
    <col min="15620" max="15620" width="12" style="177"/>
    <col min="15621" max="15621" width="15.7109375" style="177" bestFit="1" customWidth="1"/>
    <col min="15622" max="15622" width="15.28515625" style="177" bestFit="1" customWidth="1"/>
    <col min="15623" max="15870" width="12" style="177"/>
    <col min="15871" max="15871" width="15.42578125" style="177" customWidth="1"/>
    <col min="15872" max="15873" width="12" style="177"/>
    <col min="15874" max="15874" width="15.7109375" style="177" bestFit="1" customWidth="1"/>
    <col min="15875" max="15875" width="15.28515625" style="177" bestFit="1" customWidth="1"/>
    <col min="15876" max="15876" width="12" style="177"/>
    <col min="15877" max="15877" width="15.7109375" style="177" bestFit="1" customWidth="1"/>
    <col min="15878" max="15878" width="15.28515625" style="177" bestFit="1" customWidth="1"/>
    <col min="15879" max="16126" width="12" style="177"/>
    <col min="16127" max="16127" width="15.42578125" style="177" customWidth="1"/>
    <col min="16128" max="16129" width="12" style="177"/>
    <col min="16130" max="16130" width="15.7109375" style="177" bestFit="1" customWidth="1"/>
    <col min="16131" max="16131" width="15.28515625" style="177" bestFit="1" customWidth="1"/>
    <col min="16132" max="16132" width="12" style="177"/>
    <col min="16133" max="16133" width="15.7109375" style="177" bestFit="1" customWidth="1"/>
    <col min="16134" max="16134" width="15.28515625" style="177" bestFit="1" customWidth="1"/>
    <col min="16135" max="16384" width="12" style="177"/>
  </cols>
  <sheetData>
    <row r="1" spans="1:14" x14ac:dyDescent="0.2">
      <c r="A1" s="201"/>
      <c r="B1" s="202"/>
      <c r="C1" s="203"/>
      <c r="D1" s="202"/>
      <c r="E1" s="202"/>
      <c r="F1" s="202"/>
      <c r="G1" s="202"/>
      <c r="H1" s="202"/>
      <c r="I1" s="202"/>
      <c r="J1" s="202"/>
      <c r="K1" s="202"/>
      <c r="L1" s="202"/>
      <c r="M1" s="202"/>
      <c r="N1" s="204"/>
    </row>
    <row r="2" spans="1:14" x14ac:dyDescent="0.2">
      <c r="A2" s="205"/>
      <c r="N2" s="206"/>
    </row>
    <row r="3" spans="1:14" x14ac:dyDescent="0.2">
      <c r="A3" s="205"/>
      <c r="N3" s="206"/>
    </row>
    <row r="4" spans="1:14" x14ac:dyDescent="0.2">
      <c r="A4" s="205"/>
      <c r="N4" s="206"/>
    </row>
    <row r="5" spans="1:14" x14ac:dyDescent="0.2">
      <c r="A5" s="268" t="s">
        <v>107</v>
      </c>
      <c r="B5" s="269"/>
      <c r="C5" s="269"/>
      <c r="D5" s="269"/>
      <c r="N5" s="206"/>
    </row>
    <row r="6" spans="1:14" ht="13.15" customHeight="1" x14ac:dyDescent="0.2">
      <c r="A6" s="268"/>
      <c r="B6" s="269"/>
      <c r="C6" s="269"/>
      <c r="D6" s="269"/>
      <c r="E6" s="199"/>
      <c r="N6" s="206"/>
    </row>
    <row r="7" spans="1:14" ht="24.6" customHeight="1" x14ac:dyDescent="0.2">
      <c r="A7" s="268"/>
      <c r="B7" s="269"/>
      <c r="C7" s="269"/>
      <c r="D7" s="269"/>
      <c r="E7" s="199"/>
      <c r="N7" s="206"/>
    </row>
    <row r="8" spans="1:14" x14ac:dyDescent="0.2">
      <c r="A8" s="205"/>
      <c r="N8" s="206"/>
    </row>
    <row r="9" spans="1:14" x14ac:dyDescent="0.2">
      <c r="A9" s="207"/>
      <c r="B9" s="198" t="s">
        <v>106</v>
      </c>
      <c r="C9" s="197" t="s">
        <v>105</v>
      </c>
      <c r="D9" s="196" t="s">
        <v>104</v>
      </c>
      <c r="E9" s="195" t="s">
        <v>103</v>
      </c>
      <c r="F9" s="200"/>
      <c r="N9" s="206"/>
    </row>
    <row r="10" spans="1:14" x14ac:dyDescent="0.2">
      <c r="A10" s="191" t="s">
        <v>102</v>
      </c>
      <c r="B10" s="194">
        <v>17.010000000000002</v>
      </c>
      <c r="C10" s="188">
        <v>23.61</v>
      </c>
      <c r="D10" s="187">
        <v>39.020000000000003</v>
      </c>
      <c r="E10" s="186">
        <v>45.66</v>
      </c>
      <c r="F10" s="200"/>
      <c r="N10" s="206"/>
    </row>
    <row r="11" spans="1:14" x14ac:dyDescent="0.2">
      <c r="A11" s="191" t="s">
        <v>101</v>
      </c>
      <c r="B11" s="194">
        <v>0.2</v>
      </c>
      <c r="C11" s="188">
        <v>0.219</v>
      </c>
      <c r="D11" s="187">
        <v>0.24099999999999999</v>
      </c>
      <c r="E11" s="186">
        <v>0.247</v>
      </c>
      <c r="F11" s="179"/>
      <c r="N11" s="206"/>
    </row>
    <row r="12" spans="1:14" x14ac:dyDescent="0.2">
      <c r="A12" s="205"/>
      <c r="B12" s="184"/>
      <c r="C12" s="185"/>
      <c r="D12" s="193"/>
      <c r="E12" s="192"/>
      <c r="F12" s="179"/>
      <c r="N12" s="206"/>
    </row>
    <row r="13" spans="1:14" x14ac:dyDescent="0.2">
      <c r="A13" s="205"/>
      <c r="B13" s="184"/>
      <c r="C13" s="185"/>
      <c r="D13" s="193"/>
      <c r="E13" s="192"/>
      <c r="F13" s="179"/>
      <c r="N13" s="206"/>
    </row>
    <row r="14" spans="1:14" x14ac:dyDescent="0.2">
      <c r="A14" s="191" t="s">
        <v>100</v>
      </c>
      <c r="B14" s="189" t="s">
        <v>99</v>
      </c>
      <c r="C14" s="188" t="s">
        <v>99</v>
      </c>
      <c r="D14" s="187" t="s">
        <v>99</v>
      </c>
      <c r="E14" s="186" t="s">
        <v>98</v>
      </c>
      <c r="F14" s="179"/>
      <c r="N14" s="206"/>
    </row>
    <row r="15" spans="1:14" x14ac:dyDescent="0.2">
      <c r="A15" s="190">
        <v>10</v>
      </c>
      <c r="B15" s="189">
        <f>ROUND(B10/(B11+($A$15/60))*2.77,2)</f>
        <v>128.5</v>
      </c>
      <c r="C15" s="188">
        <f>ROUND(C10/(C11+($A$15/60))*2.77,2)</f>
        <v>169.58</v>
      </c>
      <c r="D15" s="187">
        <f>ROUND(D10/(D11+($A$15/60))*2.77,2)</f>
        <v>265.13</v>
      </c>
      <c r="E15" s="186">
        <f>ROUND(E10/(E11+($A$15/60))*2.77,2)</f>
        <v>305.75</v>
      </c>
      <c r="F15" s="179"/>
      <c r="N15" s="206"/>
    </row>
    <row r="16" spans="1:14" x14ac:dyDescent="0.2">
      <c r="A16" s="190">
        <v>15</v>
      </c>
      <c r="B16" s="189">
        <f>ROUND(B10/(B11+($A$16/60))*2.77,2)</f>
        <v>104.71</v>
      </c>
      <c r="C16" s="188">
        <f>ROUND(C10/(C11+($A$16/60))*2.77,2)</f>
        <v>139.44</v>
      </c>
      <c r="D16" s="187">
        <f>ROUND(D10/(D11+($A$16/60))*2.77,2)</f>
        <v>220.13</v>
      </c>
      <c r="E16" s="186">
        <f>ROUND(E10/(E11+($A$16/60))*2.77,2)</f>
        <v>254.48</v>
      </c>
      <c r="F16" s="179"/>
      <c r="N16" s="206"/>
    </row>
    <row r="17" spans="1:14" x14ac:dyDescent="0.2">
      <c r="A17" s="190">
        <v>20</v>
      </c>
      <c r="B17" s="189">
        <f>ROUND(B10/(B11+($A$17/60))*2.77,2)</f>
        <v>88.35</v>
      </c>
      <c r="C17" s="188">
        <f>ROUND(C10/(C11+($A$17/60))*2.77,2)</f>
        <v>118.41</v>
      </c>
      <c r="D17" s="187">
        <f>ROUND(D10/(D11+($A$17/60))*2.77,2)</f>
        <v>188.19</v>
      </c>
      <c r="E17" s="186">
        <f>ROUND(E10/(E11+($A$17/60))*2.77,2)</f>
        <v>217.94</v>
      </c>
      <c r="F17" s="179"/>
      <c r="N17" s="206"/>
    </row>
    <row r="18" spans="1:14" x14ac:dyDescent="0.2">
      <c r="A18" s="205"/>
      <c r="B18" s="184"/>
      <c r="C18" s="185"/>
      <c r="F18" s="179"/>
      <c r="N18" s="206"/>
    </row>
    <row r="19" spans="1:14" ht="31.5" x14ac:dyDescent="0.3">
      <c r="A19" s="236" t="s">
        <v>124</v>
      </c>
      <c r="B19" s="237"/>
      <c r="C19" s="270" t="s">
        <v>123</v>
      </c>
      <c r="D19" s="271"/>
      <c r="E19" s="184"/>
      <c r="F19" s="179"/>
      <c r="N19" s="206"/>
    </row>
    <row r="20" spans="1:14" x14ac:dyDescent="0.2">
      <c r="A20" s="208">
        <v>5</v>
      </c>
      <c r="B20" s="183">
        <v>125</v>
      </c>
      <c r="C20" s="182">
        <v>180</v>
      </c>
      <c r="D20" s="181">
        <v>320</v>
      </c>
      <c r="E20" s="179">
        <v>370</v>
      </c>
      <c r="F20" s="179"/>
      <c r="N20" s="206"/>
    </row>
    <row r="21" spans="1:14" x14ac:dyDescent="0.2">
      <c r="A21" s="208">
        <v>10</v>
      </c>
      <c r="B21" s="183">
        <v>105</v>
      </c>
      <c r="C21" s="182">
        <v>158</v>
      </c>
      <c r="D21" s="181">
        <v>282</v>
      </c>
      <c r="E21" s="179">
        <v>340</v>
      </c>
      <c r="F21" s="179"/>
      <c r="N21" s="206"/>
    </row>
    <row r="22" spans="1:14" x14ac:dyDescent="0.2">
      <c r="A22" s="208">
        <v>20</v>
      </c>
      <c r="B22" s="183">
        <v>85</v>
      </c>
      <c r="C22" s="182">
        <v>130</v>
      </c>
      <c r="D22" s="181">
        <v>245</v>
      </c>
      <c r="E22" s="179">
        <v>300</v>
      </c>
      <c r="F22" s="179"/>
      <c r="N22" s="206"/>
    </row>
    <row r="23" spans="1:14" x14ac:dyDescent="0.2">
      <c r="A23" s="208">
        <v>30</v>
      </c>
      <c r="B23" s="183">
        <v>70</v>
      </c>
      <c r="C23" s="182">
        <v>110</v>
      </c>
      <c r="D23" s="181">
        <v>220</v>
      </c>
      <c r="E23" s="179">
        <v>268</v>
      </c>
      <c r="F23" s="179"/>
      <c r="N23" s="206"/>
    </row>
    <row r="24" spans="1:14" x14ac:dyDescent="0.2">
      <c r="A24" s="208">
        <v>40</v>
      </c>
      <c r="B24" s="183">
        <v>60</v>
      </c>
      <c r="C24" s="182">
        <v>95</v>
      </c>
      <c r="D24" s="181">
        <v>195</v>
      </c>
      <c r="E24" s="179">
        <v>240</v>
      </c>
      <c r="F24" s="179"/>
      <c r="N24" s="206"/>
    </row>
    <row r="25" spans="1:14" x14ac:dyDescent="0.2">
      <c r="A25" s="208">
        <v>50</v>
      </c>
      <c r="B25" s="183">
        <v>50</v>
      </c>
      <c r="C25" s="182">
        <v>82</v>
      </c>
      <c r="D25" s="181">
        <v>175</v>
      </c>
      <c r="E25" s="179">
        <v>218</v>
      </c>
      <c r="F25" s="179"/>
      <c r="N25" s="206"/>
    </row>
    <row r="26" spans="1:14" x14ac:dyDescent="0.2">
      <c r="A26" s="208">
        <v>60</v>
      </c>
      <c r="B26" s="183">
        <v>40</v>
      </c>
      <c r="C26" s="182">
        <v>70</v>
      </c>
      <c r="D26" s="181">
        <v>160</v>
      </c>
      <c r="E26" s="179">
        <v>200</v>
      </c>
      <c r="N26" s="206"/>
    </row>
    <row r="27" spans="1:14" x14ac:dyDescent="0.2">
      <c r="A27" s="208">
        <v>70</v>
      </c>
      <c r="B27" s="183">
        <v>35</v>
      </c>
      <c r="C27" s="182">
        <v>60</v>
      </c>
      <c r="D27" s="181">
        <v>145</v>
      </c>
      <c r="E27" s="179">
        <v>182</v>
      </c>
      <c r="N27" s="206"/>
    </row>
    <row r="28" spans="1:14" x14ac:dyDescent="0.2">
      <c r="A28" s="208">
        <v>80</v>
      </c>
      <c r="B28" s="183">
        <v>30</v>
      </c>
      <c r="C28" s="182">
        <v>52</v>
      </c>
      <c r="D28" s="181">
        <v>130</v>
      </c>
      <c r="E28" s="179">
        <v>170</v>
      </c>
      <c r="N28" s="206"/>
    </row>
    <row r="29" spans="1:14" x14ac:dyDescent="0.2">
      <c r="A29" s="208">
        <v>90</v>
      </c>
      <c r="B29" s="183">
        <v>25</v>
      </c>
      <c r="C29" s="182">
        <v>48</v>
      </c>
      <c r="D29" s="181">
        <v>120</v>
      </c>
      <c r="E29" s="179">
        <v>154</v>
      </c>
      <c r="N29" s="206"/>
    </row>
    <row r="30" spans="1:14" x14ac:dyDescent="0.2">
      <c r="A30" s="208">
        <v>100</v>
      </c>
      <c r="B30" s="183">
        <v>20</v>
      </c>
      <c r="C30" s="182">
        <v>42</v>
      </c>
      <c r="D30" s="181">
        <v>110</v>
      </c>
      <c r="E30" s="179">
        <v>140</v>
      </c>
      <c r="N30" s="206"/>
    </row>
    <row r="31" spans="1:14" x14ac:dyDescent="0.2">
      <c r="A31" s="208">
        <v>110</v>
      </c>
      <c r="B31" s="183">
        <v>15</v>
      </c>
      <c r="C31" s="182">
        <v>38</v>
      </c>
      <c r="D31" s="181">
        <v>100</v>
      </c>
      <c r="E31" s="179">
        <v>130</v>
      </c>
      <c r="N31" s="206"/>
    </row>
    <row r="32" spans="1:14" x14ac:dyDescent="0.2">
      <c r="A32" s="208">
        <v>120</v>
      </c>
      <c r="B32" s="183">
        <v>12</v>
      </c>
      <c r="C32" s="182">
        <v>34</v>
      </c>
      <c r="D32" s="181">
        <v>92</v>
      </c>
      <c r="E32" s="179">
        <v>120</v>
      </c>
      <c r="N32" s="206"/>
    </row>
    <row r="33" spans="1:14" x14ac:dyDescent="0.2">
      <c r="A33" s="205"/>
      <c r="N33" s="206"/>
    </row>
    <row r="34" spans="1:14" x14ac:dyDescent="0.2">
      <c r="A34" s="205"/>
      <c r="H34" s="272"/>
      <c r="I34" s="272"/>
      <c r="K34" s="273"/>
      <c r="L34" s="273"/>
      <c r="N34" s="206"/>
    </row>
    <row r="35" spans="1:14" x14ac:dyDescent="0.2">
      <c r="A35" s="209"/>
      <c r="B35" s="210"/>
      <c r="C35" s="211"/>
      <c r="D35" s="210"/>
      <c r="E35" s="210"/>
      <c r="F35" s="210"/>
      <c r="G35" s="210"/>
      <c r="H35" s="212"/>
      <c r="I35" s="212"/>
      <c r="J35" s="210"/>
      <c r="K35" s="213"/>
      <c r="L35" s="213"/>
      <c r="M35" s="210"/>
      <c r="N35" s="214"/>
    </row>
    <row r="36" spans="1:14" x14ac:dyDescent="0.2">
      <c r="H36" s="180"/>
      <c r="I36" s="180"/>
      <c r="K36" s="179"/>
      <c r="L36" s="179"/>
    </row>
    <row r="37" spans="1:14" x14ac:dyDescent="0.2">
      <c r="H37" s="180"/>
      <c r="I37" s="180"/>
      <c r="K37" s="179"/>
      <c r="L37" s="179"/>
    </row>
    <row r="38" spans="1:14" x14ac:dyDescent="0.2">
      <c r="H38" s="180"/>
      <c r="I38" s="180"/>
      <c r="K38" s="179"/>
      <c r="L38" s="179"/>
    </row>
    <row r="39" spans="1:14" x14ac:dyDescent="0.2">
      <c r="H39" s="180"/>
      <c r="I39" s="180"/>
      <c r="K39" s="179"/>
      <c r="L39" s="179"/>
    </row>
    <row r="40" spans="1:14" x14ac:dyDescent="0.2">
      <c r="H40" s="180"/>
      <c r="I40" s="180"/>
      <c r="K40" s="179"/>
      <c r="L40" s="179"/>
    </row>
    <row r="41" spans="1:14" x14ac:dyDescent="0.2">
      <c r="H41" s="180"/>
      <c r="I41" s="180"/>
      <c r="K41" s="179"/>
      <c r="L41" s="179"/>
    </row>
    <row r="42" spans="1:14" x14ac:dyDescent="0.2">
      <c r="H42" s="180"/>
      <c r="I42" s="180"/>
      <c r="K42" s="179"/>
      <c r="L42" s="179"/>
    </row>
    <row r="43" spans="1:14" x14ac:dyDescent="0.2">
      <c r="H43" s="180"/>
      <c r="I43" s="180"/>
      <c r="K43" s="179"/>
      <c r="L43" s="179"/>
    </row>
    <row r="44" spans="1:14" x14ac:dyDescent="0.2">
      <c r="H44" s="180"/>
      <c r="I44" s="180"/>
      <c r="K44" s="179"/>
      <c r="L44" s="179"/>
    </row>
    <row r="45" spans="1:14" x14ac:dyDescent="0.2">
      <c r="H45" s="180"/>
      <c r="I45" s="180"/>
      <c r="K45" s="179"/>
      <c r="L45" s="179"/>
    </row>
    <row r="46" spans="1:14" x14ac:dyDescent="0.2">
      <c r="H46" s="180"/>
      <c r="I46" s="180"/>
      <c r="K46" s="179"/>
      <c r="L46" s="179"/>
    </row>
    <row r="47" spans="1:14" x14ac:dyDescent="0.2">
      <c r="H47" s="180"/>
      <c r="I47" s="180"/>
      <c r="K47" s="179"/>
      <c r="L47" s="179"/>
    </row>
    <row r="48" spans="1:14" x14ac:dyDescent="0.2">
      <c r="H48" s="180"/>
      <c r="I48" s="180"/>
      <c r="K48" s="179"/>
      <c r="L48" s="179"/>
    </row>
  </sheetData>
  <mergeCells count="4">
    <mergeCell ref="A5:D7"/>
    <mergeCell ref="C19:D19"/>
    <mergeCell ref="H34:I34"/>
    <mergeCell ref="K34:L34"/>
  </mergeCells>
  <pageMargins left="0.25" right="0.25" top="0.75" bottom="0.75" header="0.3" footer="0.3"/>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W78"/>
  <sheetViews>
    <sheetView topLeftCell="A13" zoomScale="55" zoomScaleNormal="55" workbookViewId="0">
      <selection activeCell="Q29" sqref="Q29"/>
    </sheetView>
  </sheetViews>
  <sheetFormatPr baseColWidth="10" defaultRowHeight="12.75" x14ac:dyDescent="0.2"/>
  <cols>
    <col min="1" max="1" width="4.28515625" customWidth="1"/>
    <col min="2" max="2" width="22.7109375" customWidth="1"/>
    <col min="3" max="3" width="11.85546875" customWidth="1"/>
    <col min="5" max="5" width="5.28515625" customWidth="1"/>
    <col min="6" max="6" width="7.85546875" customWidth="1"/>
    <col min="7" max="23" width="10" customWidth="1"/>
  </cols>
  <sheetData>
    <row r="2" spans="2:23" x14ac:dyDescent="0.2">
      <c r="B2" s="16" t="s">
        <v>35</v>
      </c>
      <c r="C2" s="16" t="s">
        <v>30</v>
      </c>
      <c r="D2" t="s">
        <v>13</v>
      </c>
      <c r="F2" s="274" t="s">
        <v>15</v>
      </c>
      <c r="G2" s="275"/>
      <c r="H2" s="275"/>
      <c r="I2" s="276"/>
      <c r="J2" s="20"/>
      <c r="K2" s="20"/>
      <c r="L2" s="20"/>
      <c r="M2" s="20"/>
      <c r="N2" s="20"/>
      <c r="O2" s="274" t="s">
        <v>21</v>
      </c>
      <c r="P2" s="275"/>
      <c r="Q2" s="275"/>
      <c r="R2" s="276"/>
      <c r="S2" s="20"/>
      <c r="T2" s="20"/>
      <c r="U2" s="20"/>
    </row>
    <row r="3" spans="2:23" x14ac:dyDescent="0.2">
      <c r="B3" s="16" t="s">
        <v>36</v>
      </c>
      <c r="C3" s="16" t="s">
        <v>30</v>
      </c>
      <c r="D3" t="s">
        <v>28</v>
      </c>
      <c r="F3" s="274" t="s">
        <v>16</v>
      </c>
      <c r="G3" s="276"/>
      <c r="H3" s="26"/>
      <c r="I3" s="26" t="s">
        <v>17</v>
      </c>
      <c r="J3" s="17"/>
      <c r="K3" s="17" t="s">
        <v>19</v>
      </c>
      <c r="L3" s="17" t="s">
        <v>20</v>
      </c>
      <c r="M3" s="17"/>
      <c r="N3" s="17"/>
      <c r="O3" s="274" t="s">
        <v>16</v>
      </c>
      <c r="P3" s="276"/>
      <c r="Q3" s="26"/>
      <c r="R3" s="26" t="s">
        <v>17</v>
      </c>
      <c r="S3" s="17"/>
      <c r="T3" s="17" t="s">
        <v>19</v>
      </c>
      <c r="U3" s="17" t="s">
        <v>20</v>
      </c>
    </row>
    <row r="4" spans="2:23" ht="15.75" x14ac:dyDescent="0.3">
      <c r="B4" s="40" t="s">
        <v>33</v>
      </c>
      <c r="C4" s="16" t="s">
        <v>30</v>
      </c>
      <c r="D4" s="16" t="s">
        <v>32</v>
      </c>
      <c r="F4" s="27">
        <v>5</v>
      </c>
      <c r="G4" s="28">
        <v>10</v>
      </c>
      <c r="H4" s="22" t="e">
        <f>IF(AND($C$11&gt;=F4,$C$11&lt;G4,1),I4,0)</f>
        <v>#REF!</v>
      </c>
      <c r="I4" s="22" t="e">
        <f>L4+(L5-L4)*($C$11-K4)/(K5-K4)</f>
        <v>#REF!</v>
      </c>
      <c r="J4" s="19"/>
      <c r="K4" s="2">
        <v>5</v>
      </c>
      <c r="L4" s="2">
        <v>318</v>
      </c>
      <c r="M4" s="2"/>
      <c r="N4" s="2"/>
      <c r="O4" s="21">
        <v>5</v>
      </c>
      <c r="P4" s="29">
        <v>10</v>
      </c>
      <c r="Q4" s="22" t="e">
        <f>IF(AND($C$11&gt;=O4,$C$11&lt;P4,1),R4,0)</f>
        <v>#REF!</v>
      </c>
      <c r="R4" s="22" t="e">
        <f t="shared" ref="R4:R15" si="0">U4+(U5-U4)*($C$11-T4)/(T5-T4)</f>
        <v>#REF!</v>
      </c>
      <c r="S4" s="19"/>
      <c r="T4" s="2">
        <v>5</v>
      </c>
      <c r="U4" s="2">
        <v>180</v>
      </c>
    </row>
    <row r="5" spans="2:23" ht="35.25" customHeight="1" x14ac:dyDescent="0.2">
      <c r="B5" s="40" t="s">
        <v>34</v>
      </c>
      <c r="C5" s="40" t="s">
        <v>31</v>
      </c>
      <c r="D5" t="s">
        <v>1</v>
      </c>
      <c r="F5" s="21">
        <v>10</v>
      </c>
      <c r="G5" s="29">
        <v>20</v>
      </c>
      <c r="H5" s="22" t="e">
        <f>IF(AND($C$11&gt;=F5,$C$11&lt;G5,1),I5,0)</f>
        <v>#REF!</v>
      </c>
      <c r="I5" s="22" t="e">
        <f t="shared" ref="I5:I15" si="1">L5+(L6-L5)*($C$11-K5)/(K6-K5)</f>
        <v>#REF!</v>
      </c>
      <c r="J5" s="19"/>
      <c r="K5" s="2">
        <v>10</v>
      </c>
      <c r="L5" s="2">
        <v>284</v>
      </c>
      <c r="M5" s="2"/>
      <c r="N5" s="2"/>
      <c r="O5" s="21">
        <v>10</v>
      </c>
      <c r="P5" s="29">
        <v>20</v>
      </c>
      <c r="Q5" s="22" t="e">
        <f t="shared" ref="Q5:Q15" si="2">IF(AND($C$11&gt;=O5,$C$11&lt;P5,1),R5,0)</f>
        <v>#REF!</v>
      </c>
      <c r="R5" s="22" t="e">
        <f t="shared" si="0"/>
        <v>#REF!</v>
      </c>
      <c r="S5" s="19"/>
      <c r="T5" s="2">
        <v>10</v>
      </c>
      <c r="U5" s="2">
        <v>159</v>
      </c>
      <c r="V5" s="2"/>
      <c r="W5" s="2"/>
    </row>
    <row r="6" spans="2:23" x14ac:dyDescent="0.2">
      <c r="F6" s="23">
        <v>20</v>
      </c>
      <c r="G6" s="29">
        <v>30</v>
      </c>
      <c r="H6" s="22" t="e">
        <f t="shared" ref="H6:H15" si="3">IF(AND($C$11&gt;=F6,$C$11&lt;G6,1),I6,0)</f>
        <v>#REF!</v>
      </c>
      <c r="I6" s="22" t="e">
        <f t="shared" si="1"/>
        <v>#REF!</v>
      </c>
      <c r="J6" s="19"/>
      <c r="K6" s="2">
        <v>20</v>
      </c>
      <c r="L6" s="2">
        <v>246</v>
      </c>
      <c r="M6" s="2">
        <f t="shared" ref="M6:M16" si="4">L6-L5</f>
        <v>-38</v>
      </c>
      <c r="N6" s="2"/>
      <c r="O6" s="23">
        <v>20</v>
      </c>
      <c r="P6" s="29">
        <v>30</v>
      </c>
      <c r="Q6" s="22" t="e">
        <f t="shared" si="2"/>
        <v>#REF!</v>
      </c>
      <c r="R6" s="22" t="e">
        <f t="shared" si="0"/>
        <v>#REF!</v>
      </c>
      <c r="S6" s="19"/>
      <c r="T6" s="2">
        <v>20</v>
      </c>
      <c r="U6" s="2">
        <v>132</v>
      </c>
      <c r="V6" s="2">
        <f t="shared" ref="V6:W16" si="5">U6-U5</f>
        <v>-27</v>
      </c>
      <c r="W6" s="2"/>
    </row>
    <row r="7" spans="2:23" x14ac:dyDescent="0.2">
      <c r="B7" s="16" t="s">
        <v>4</v>
      </c>
      <c r="C7" t="s">
        <v>23</v>
      </c>
      <c r="F7" s="23">
        <v>30</v>
      </c>
      <c r="G7" s="29">
        <v>40</v>
      </c>
      <c r="H7" s="22" t="e">
        <f t="shared" si="3"/>
        <v>#REF!</v>
      </c>
      <c r="I7" s="22" t="e">
        <f t="shared" si="1"/>
        <v>#REF!</v>
      </c>
      <c r="J7" s="19"/>
      <c r="K7" s="2">
        <v>30</v>
      </c>
      <c r="L7" s="2">
        <v>217</v>
      </c>
      <c r="M7" s="2">
        <f t="shared" si="4"/>
        <v>-29</v>
      </c>
      <c r="N7" s="2">
        <f t="shared" ref="N7:N15" si="6">M7-M6</f>
        <v>9</v>
      </c>
      <c r="O7" s="23">
        <v>30</v>
      </c>
      <c r="P7" s="29">
        <v>40</v>
      </c>
      <c r="Q7" s="22" t="e">
        <f t="shared" si="2"/>
        <v>#REF!</v>
      </c>
      <c r="R7" s="22" t="e">
        <f t="shared" si="0"/>
        <v>#REF!</v>
      </c>
      <c r="S7" s="19"/>
      <c r="T7" s="2">
        <v>30</v>
      </c>
      <c r="U7" s="2">
        <v>111</v>
      </c>
      <c r="V7" s="2">
        <f t="shared" si="5"/>
        <v>-21</v>
      </c>
      <c r="W7" s="2">
        <f t="shared" si="5"/>
        <v>6</v>
      </c>
    </row>
    <row r="8" spans="2:23" x14ac:dyDescent="0.2">
      <c r="B8" s="16" t="s">
        <v>10</v>
      </c>
      <c r="C8" t="s">
        <v>24</v>
      </c>
      <c r="F8" s="23">
        <v>40</v>
      </c>
      <c r="G8" s="29">
        <v>50</v>
      </c>
      <c r="H8" s="22" t="e">
        <f t="shared" si="3"/>
        <v>#REF!</v>
      </c>
      <c r="I8" s="22" t="e">
        <f t="shared" si="1"/>
        <v>#REF!</v>
      </c>
      <c r="J8" s="19"/>
      <c r="K8" s="2">
        <v>40</v>
      </c>
      <c r="L8" s="2">
        <v>195</v>
      </c>
      <c r="M8" s="2">
        <f t="shared" si="4"/>
        <v>-22</v>
      </c>
      <c r="N8" s="2">
        <f>M8-M7</f>
        <v>7</v>
      </c>
      <c r="O8" s="23">
        <v>40</v>
      </c>
      <c r="P8" s="29">
        <v>50</v>
      </c>
      <c r="Q8" s="22" t="e">
        <f t="shared" si="2"/>
        <v>#REF!</v>
      </c>
      <c r="R8" s="22" t="e">
        <f t="shared" si="0"/>
        <v>#REF!</v>
      </c>
      <c r="S8" s="19"/>
      <c r="T8" s="2">
        <v>40</v>
      </c>
      <c r="U8" s="2">
        <v>96</v>
      </c>
      <c r="V8" s="2">
        <f t="shared" si="5"/>
        <v>-15</v>
      </c>
      <c r="W8" s="2">
        <f t="shared" si="5"/>
        <v>6</v>
      </c>
    </row>
    <row r="9" spans="2:23" x14ac:dyDescent="0.2">
      <c r="B9" s="16" t="s">
        <v>12</v>
      </c>
      <c r="F9" s="21">
        <v>50</v>
      </c>
      <c r="G9" s="29">
        <v>60</v>
      </c>
      <c r="H9" s="22" t="e">
        <f t="shared" si="3"/>
        <v>#REF!</v>
      </c>
      <c r="I9" s="22" t="e">
        <f t="shared" si="1"/>
        <v>#REF!</v>
      </c>
      <c r="J9" s="19"/>
      <c r="K9" s="2">
        <v>50</v>
      </c>
      <c r="L9" s="2">
        <v>176</v>
      </c>
      <c r="M9" s="2">
        <f t="shared" si="4"/>
        <v>-19</v>
      </c>
      <c r="N9" s="2">
        <f t="shared" si="6"/>
        <v>3</v>
      </c>
      <c r="O9" s="21">
        <v>50</v>
      </c>
      <c r="P9" s="29">
        <v>60</v>
      </c>
      <c r="Q9" s="22" t="e">
        <f t="shared" si="2"/>
        <v>#REF!</v>
      </c>
      <c r="R9" s="22" t="e">
        <f t="shared" si="0"/>
        <v>#REF!</v>
      </c>
      <c r="S9" s="19"/>
      <c r="T9" s="2">
        <v>50</v>
      </c>
      <c r="U9" s="2">
        <v>82</v>
      </c>
      <c r="V9" s="2">
        <f t="shared" si="5"/>
        <v>-14</v>
      </c>
      <c r="W9" s="2">
        <f t="shared" si="5"/>
        <v>1</v>
      </c>
    </row>
    <row r="10" spans="2:23" x14ac:dyDescent="0.2">
      <c r="F10" s="23">
        <v>60</v>
      </c>
      <c r="G10" s="29">
        <v>70</v>
      </c>
      <c r="H10" s="22" t="e">
        <f t="shared" si="3"/>
        <v>#REF!</v>
      </c>
      <c r="I10" s="22" t="e">
        <f t="shared" si="1"/>
        <v>#REF!</v>
      </c>
      <c r="J10" s="19"/>
      <c r="K10" s="2">
        <v>60</v>
      </c>
      <c r="L10" s="2">
        <v>159</v>
      </c>
      <c r="M10" s="2">
        <f t="shared" si="4"/>
        <v>-17</v>
      </c>
      <c r="N10" s="2">
        <f t="shared" si="6"/>
        <v>2</v>
      </c>
      <c r="O10" s="23">
        <v>60</v>
      </c>
      <c r="P10" s="29">
        <v>70</v>
      </c>
      <c r="Q10" s="22" t="e">
        <f t="shared" si="2"/>
        <v>#REF!</v>
      </c>
      <c r="R10" s="22" t="e">
        <f t="shared" si="0"/>
        <v>#REF!</v>
      </c>
      <c r="S10" s="19"/>
      <c r="T10" s="2">
        <v>60</v>
      </c>
      <c r="U10" s="2">
        <v>70</v>
      </c>
      <c r="V10" s="2">
        <f t="shared" si="5"/>
        <v>-12</v>
      </c>
      <c r="W10" s="2">
        <f t="shared" si="5"/>
        <v>2</v>
      </c>
    </row>
    <row r="11" spans="2:23" x14ac:dyDescent="0.2">
      <c r="B11" s="18" t="s">
        <v>18</v>
      </c>
      <c r="C11" s="3" t="e">
        <f>#REF!</f>
        <v>#REF!</v>
      </c>
      <c r="F11" s="23">
        <v>70</v>
      </c>
      <c r="G11" s="29">
        <v>80</v>
      </c>
      <c r="H11" s="22" t="e">
        <f t="shared" si="3"/>
        <v>#REF!</v>
      </c>
      <c r="I11" s="22" t="e">
        <f t="shared" si="1"/>
        <v>#REF!</v>
      </c>
      <c r="J11" s="19"/>
      <c r="K11" s="2">
        <v>70</v>
      </c>
      <c r="L11" s="2">
        <v>144</v>
      </c>
      <c r="M11" s="2">
        <f t="shared" si="4"/>
        <v>-15</v>
      </c>
      <c r="N11" s="2">
        <f t="shared" si="6"/>
        <v>2</v>
      </c>
      <c r="O11" s="23">
        <v>70</v>
      </c>
      <c r="P11" s="29">
        <v>80</v>
      </c>
      <c r="Q11" s="22" t="e">
        <f t="shared" si="2"/>
        <v>#REF!</v>
      </c>
      <c r="R11" s="22" t="e">
        <f t="shared" si="0"/>
        <v>#REF!</v>
      </c>
      <c r="S11" s="19"/>
      <c r="T11" s="2">
        <v>70</v>
      </c>
      <c r="U11" s="2">
        <v>61</v>
      </c>
      <c r="V11" s="2">
        <f t="shared" si="5"/>
        <v>-9</v>
      </c>
      <c r="W11" s="2">
        <f t="shared" si="5"/>
        <v>3</v>
      </c>
    </row>
    <row r="12" spans="2:23" x14ac:dyDescent="0.2">
      <c r="B12" s="18"/>
      <c r="C12" s="3"/>
      <c r="F12" s="23">
        <v>80</v>
      </c>
      <c r="G12" s="29">
        <v>90</v>
      </c>
      <c r="H12" s="22" t="e">
        <f t="shared" si="3"/>
        <v>#REF!</v>
      </c>
      <c r="I12" s="22" t="e">
        <f t="shared" si="1"/>
        <v>#REF!</v>
      </c>
      <c r="J12" s="19"/>
      <c r="K12" s="2">
        <v>80</v>
      </c>
      <c r="L12" s="2">
        <v>131</v>
      </c>
      <c r="M12" s="2">
        <f t="shared" si="4"/>
        <v>-13</v>
      </c>
      <c r="N12" s="2">
        <f t="shared" si="6"/>
        <v>2</v>
      </c>
      <c r="O12" s="23">
        <v>80</v>
      </c>
      <c r="P12" s="29">
        <v>90</v>
      </c>
      <c r="Q12" s="22" t="e">
        <f t="shared" si="2"/>
        <v>#REF!</v>
      </c>
      <c r="R12" s="22" t="e">
        <f t="shared" si="0"/>
        <v>#REF!</v>
      </c>
      <c r="S12" s="19"/>
      <c r="T12" s="2">
        <v>80</v>
      </c>
      <c r="U12" s="2">
        <v>53</v>
      </c>
      <c r="V12" s="2">
        <f t="shared" si="5"/>
        <v>-8</v>
      </c>
      <c r="W12" s="2">
        <f t="shared" si="5"/>
        <v>1</v>
      </c>
    </row>
    <row r="13" spans="2:23" x14ac:dyDescent="0.2">
      <c r="B13" s="18"/>
      <c r="C13" s="33" t="s">
        <v>24</v>
      </c>
      <c r="D13" s="32" t="s">
        <v>23</v>
      </c>
      <c r="F13" s="21">
        <v>90</v>
      </c>
      <c r="G13" s="29">
        <v>100</v>
      </c>
      <c r="H13" s="22" t="e">
        <f t="shared" si="3"/>
        <v>#REF!</v>
      </c>
      <c r="I13" s="22" t="e">
        <f t="shared" si="1"/>
        <v>#REF!</v>
      </c>
      <c r="J13" s="19"/>
      <c r="K13" s="2">
        <v>90</v>
      </c>
      <c r="L13" s="2">
        <v>120</v>
      </c>
      <c r="M13" s="2">
        <f t="shared" si="4"/>
        <v>-11</v>
      </c>
      <c r="N13" s="2">
        <f t="shared" si="6"/>
        <v>2</v>
      </c>
      <c r="O13" s="21">
        <v>90</v>
      </c>
      <c r="P13" s="29">
        <v>100</v>
      </c>
      <c r="Q13" s="22" t="e">
        <f t="shared" si="2"/>
        <v>#REF!</v>
      </c>
      <c r="R13" s="22" t="e">
        <f t="shared" si="0"/>
        <v>#REF!</v>
      </c>
      <c r="S13" s="19"/>
      <c r="T13" s="2">
        <v>90</v>
      </c>
      <c r="U13" s="2">
        <v>46</v>
      </c>
      <c r="V13" s="2">
        <f t="shared" si="5"/>
        <v>-7</v>
      </c>
      <c r="W13" s="2">
        <f t="shared" si="5"/>
        <v>1</v>
      </c>
    </row>
    <row r="14" spans="2:23" x14ac:dyDescent="0.2">
      <c r="B14" s="36" t="s">
        <v>4</v>
      </c>
      <c r="C14" s="34" t="e">
        <f>SUM(H4:H15)</f>
        <v>#REF!</v>
      </c>
      <c r="D14" s="39" t="e">
        <f>SUM(Q4:Q15)</f>
        <v>#REF!</v>
      </c>
      <c r="F14" s="23">
        <v>100</v>
      </c>
      <c r="G14" s="29">
        <v>110</v>
      </c>
      <c r="H14" s="22" t="e">
        <f t="shared" si="3"/>
        <v>#REF!</v>
      </c>
      <c r="I14" s="22" t="e">
        <f t="shared" si="1"/>
        <v>#REF!</v>
      </c>
      <c r="J14" s="19"/>
      <c r="K14" s="2">
        <v>100</v>
      </c>
      <c r="L14" s="2">
        <v>110</v>
      </c>
      <c r="M14" s="2">
        <f t="shared" si="4"/>
        <v>-10</v>
      </c>
      <c r="N14" s="2">
        <f t="shared" si="6"/>
        <v>1</v>
      </c>
      <c r="O14" s="23">
        <v>100</v>
      </c>
      <c r="P14" s="29">
        <v>110</v>
      </c>
      <c r="Q14" s="22" t="e">
        <f t="shared" si="2"/>
        <v>#REF!</v>
      </c>
      <c r="R14" s="22" t="e">
        <f t="shared" si="0"/>
        <v>#REF!</v>
      </c>
      <c r="S14" s="19"/>
      <c r="T14" s="2">
        <v>100</v>
      </c>
      <c r="U14" s="2">
        <v>41</v>
      </c>
      <c r="V14" s="2">
        <f t="shared" si="5"/>
        <v>-5</v>
      </c>
      <c r="W14" s="2">
        <f t="shared" si="5"/>
        <v>2</v>
      </c>
    </row>
    <row r="15" spans="2:23" x14ac:dyDescent="0.2">
      <c r="B15" s="37" t="s">
        <v>10</v>
      </c>
      <c r="C15" s="34" t="e">
        <f>SUM(H19:H30)</f>
        <v>#REF!</v>
      </c>
      <c r="D15" s="34" t="e">
        <f>SUM(Q19:Q30)</f>
        <v>#REF!</v>
      </c>
      <c r="F15" s="24">
        <v>110</v>
      </c>
      <c r="G15" s="30">
        <v>120</v>
      </c>
      <c r="H15" s="22" t="e">
        <f t="shared" si="3"/>
        <v>#REF!</v>
      </c>
      <c r="I15" s="25" t="e">
        <f t="shared" si="1"/>
        <v>#REF!</v>
      </c>
      <c r="J15" s="19"/>
      <c r="K15" s="2">
        <v>110</v>
      </c>
      <c r="L15" s="2">
        <v>101</v>
      </c>
      <c r="M15" s="2">
        <f t="shared" si="4"/>
        <v>-9</v>
      </c>
      <c r="N15" s="2">
        <f t="shared" si="6"/>
        <v>1</v>
      </c>
      <c r="O15" s="24">
        <v>110</v>
      </c>
      <c r="P15" s="30">
        <v>120</v>
      </c>
      <c r="Q15" s="22" t="e">
        <f t="shared" si="2"/>
        <v>#REF!</v>
      </c>
      <c r="R15" s="25" t="e">
        <f t="shared" si="0"/>
        <v>#REF!</v>
      </c>
      <c r="S15" s="19"/>
      <c r="T15" s="2">
        <v>110</v>
      </c>
      <c r="U15" s="2">
        <v>38</v>
      </c>
      <c r="V15" s="2">
        <f t="shared" si="5"/>
        <v>-3</v>
      </c>
      <c r="W15" s="2">
        <f t="shared" si="5"/>
        <v>2</v>
      </c>
    </row>
    <row r="16" spans="2:23" x14ac:dyDescent="0.2">
      <c r="B16" s="38" t="s">
        <v>12</v>
      </c>
      <c r="C16" s="35" t="e">
        <f>SUM(H34:H45)</f>
        <v>#REF!</v>
      </c>
      <c r="D16" s="35" t="e">
        <f>SUM(Q34:Q45)</f>
        <v>#REF!</v>
      </c>
      <c r="F16" s="5"/>
      <c r="K16" s="2">
        <v>120</v>
      </c>
      <c r="L16" s="2">
        <v>93</v>
      </c>
      <c r="M16" s="2">
        <f t="shared" si="4"/>
        <v>-8</v>
      </c>
      <c r="N16" s="2">
        <f>M16-M15</f>
        <v>1</v>
      </c>
      <c r="O16" s="5"/>
      <c r="T16" s="2">
        <v>120</v>
      </c>
      <c r="U16" s="2">
        <v>35</v>
      </c>
      <c r="V16" s="2">
        <f t="shared" si="5"/>
        <v>-3</v>
      </c>
      <c r="W16" s="2">
        <f>V16-V15</f>
        <v>0</v>
      </c>
    </row>
    <row r="17" spans="2:23" x14ac:dyDescent="0.2">
      <c r="B17" s="18"/>
      <c r="C17" s="3"/>
      <c r="F17" s="274" t="s">
        <v>22</v>
      </c>
      <c r="G17" s="275"/>
      <c r="H17" s="275"/>
      <c r="I17" s="276"/>
      <c r="J17" s="20"/>
      <c r="K17" s="20"/>
      <c r="L17" s="20"/>
      <c r="M17" s="20"/>
      <c r="N17" s="20"/>
      <c r="O17" s="274" t="s">
        <v>25</v>
      </c>
      <c r="P17" s="275"/>
      <c r="Q17" s="275"/>
      <c r="R17" s="276"/>
    </row>
    <row r="18" spans="2:23" x14ac:dyDescent="0.2">
      <c r="B18" s="41" t="s">
        <v>0</v>
      </c>
      <c r="C18" s="16"/>
      <c r="D18" s="16"/>
      <c r="F18" s="274" t="s">
        <v>16</v>
      </c>
      <c r="G18" s="276"/>
      <c r="H18" s="31"/>
      <c r="I18" s="31" t="s">
        <v>17</v>
      </c>
      <c r="J18" s="17"/>
      <c r="K18" s="17" t="s">
        <v>19</v>
      </c>
      <c r="L18" s="17" t="s">
        <v>20</v>
      </c>
      <c r="M18" s="17"/>
      <c r="N18" s="17"/>
      <c r="O18" s="274" t="s">
        <v>16</v>
      </c>
      <c r="P18" s="276"/>
      <c r="Q18" s="31"/>
      <c r="R18" s="31" t="s">
        <v>17</v>
      </c>
      <c r="T18" s="17" t="s">
        <v>19</v>
      </c>
      <c r="U18" s="17" t="s">
        <v>20</v>
      </c>
    </row>
    <row r="19" spans="2:23" x14ac:dyDescent="0.2">
      <c r="B19" s="16"/>
      <c r="C19" s="16"/>
      <c r="D19" s="16"/>
      <c r="F19" s="21">
        <v>5</v>
      </c>
      <c r="G19" s="29">
        <v>10</v>
      </c>
      <c r="H19" s="22" t="e">
        <f>IF(AND($C$11&gt;=F19,$C$11&lt;G19,1),I19,0)</f>
        <v>#REF!</v>
      </c>
      <c r="I19" s="22" t="e">
        <f>L19+(L20-L19)*($C$11-K19)/(K20-K19)</f>
        <v>#REF!</v>
      </c>
      <c r="J19" s="19"/>
      <c r="K19" s="2">
        <v>5</v>
      </c>
      <c r="L19" s="2">
        <v>394</v>
      </c>
      <c r="M19" s="2"/>
      <c r="N19" s="2"/>
      <c r="O19" s="21">
        <v>5</v>
      </c>
      <c r="P19" s="29">
        <v>10</v>
      </c>
      <c r="Q19" s="22" t="e">
        <f>IF(AND($C$11&gt;=O19,$C$11&lt;P19,1),R19,0)</f>
        <v>#REF!</v>
      </c>
      <c r="R19" s="22" t="e">
        <f t="shared" ref="R19:R30" si="7">U19+(U20-U19)*($C$11-T19)/(T20-T19)</f>
        <v>#REF!</v>
      </c>
      <c r="S19" s="20"/>
      <c r="T19" s="2">
        <v>5</v>
      </c>
      <c r="U19" s="2">
        <v>224</v>
      </c>
    </row>
    <row r="20" spans="2:23" x14ac:dyDescent="0.2">
      <c r="B20" s="16" t="s">
        <v>14</v>
      </c>
      <c r="C20" s="16"/>
      <c r="D20" s="42">
        <v>5</v>
      </c>
      <c r="F20" s="21">
        <v>10</v>
      </c>
      <c r="G20" s="29">
        <v>20</v>
      </c>
      <c r="H20" s="22" t="e">
        <f t="shared" ref="H20:H30" si="8">IF(AND($C$11&gt;=F20,$C$11&lt;G20,1),I20,0)</f>
        <v>#REF!</v>
      </c>
      <c r="I20" s="22" t="e">
        <f t="shared" ref="I20:I30" si="9">L20+(L21-L20)*($C$11-K20)/(K21-K20)</f>
        <v>#REF!</v>
      </c>
      <c r="J20" s="19"/>
      <c r="K20" s="2">
        <v>10</v>
      </c>
      <c r="L20" s="2">
        <v>357</v>
      </c>
      <c r="M20" s="2"/>
      <c r="N20" s="2"/>
      <c r="O20" s="21">
        <v>10</v>
      </c>
      <c r="P20" s="29">
        <v>20</v>
      </c>
      <c r="Q20" s="22" t="e">
        <f t="shared" ref="Q20:Q30" si="10">IF(AND($C$11&gt;=O20,$C$11&lt;P20,1),R20,0)</f>
        <v>#REF!</v>
      </c>
      <c r="R20" s="22" t="e">
        <f t="shared" si="7"/>
        <v>#REF!</v>
      </c>
      <c r="S20" s="17"/>
      <c r="T20" s="2">
        <v>10</v>
      </c>
      <c r="U20" s="2">
        <v>198</v>
      </c>
      <c r="V20" s="2"/>
      <c r="W20" s="2"/>
    </row>
    <row r="21" spans="2:23" x14ac:dyDescent="0.2">
      <c r="B21" s="16"/>
      <c r="C21" s="16"/>
      <c r="D21" s="16"/>
      <c r="F21" s="23">
        <v>20</v>
      </c>
      <c r="G21" s="29">
        <v>30</v>
      </c>
      <c r="H21" s="22" t="e">
        <f t="shared" si="8"/>
        <v>#REF!</v>
      </c>
      <c r="I21" s="22" t="e">
        <f t="shared" si="9"/>
        <v>#REF!</v>
      </c>
      <c r="J21" s="19"/>
      <c r="K21" s="2">
        <v>20</v>
      </c>
      <c r="L21" s="2">
        <v>313</v>
      </c>
      <c r="M21" s="2">
        <f t="shared" ref="M21:N31" si="11">L21-L20</f>
        <v>-44</v>
      </c>
      <c r="N21" s="2"/>
      <c r="O21" s="23">
        <v>20</v>
      </c>
      <c r="P21" s="29">
        <v>30</v>
      </c>
      <c r="Q21" s="22" t="e">
        <f t="shared" si="10"/>
        <v>#REF!</v>
      </c>
      <c r="R21" s="22" t="e">
        <f t="shared" si="7"/>
        <v>#REF!</v>
      </c>
      <c r="S21" s="19"/>
      <c r="T21" s="2">
        <v>20</v>
      </c>
      <c r="U21" s="2">
        <v>167</v>
      </c>
      <c r="V21" s="2">
        <f t="shared" ref="V21:W31" si="12">U21-U20</f>
        <v>-31</v>
      </c>
      <c r="W21" s="2"/>
    </row>
    <row r="22" spans="2:23" x14ac:dyDescent="0.2">
      <c r="B22" s="43" t="s">
        <v>9</v>
      </c>
      <c r="C22" s="44" t="s">
        <v>4</v>
      </c>
      <c r="D22" s="45"/>
      <c r="F22" s="23">
        <v>30</v>
      </c>
      <c r="G22" s="29">
        <v>40</v>
      </c>
      <c r="H22" s="22" t="e">
        <f t="shared" si="8"/>
        <v>#REF!</v>
      </c>
      <c r="I22" s="22" t="e">
        <f t="shared" si="9"/>
        <v>#REF!</v>
      </c>
      <c r="J22" s="19"/>
      <c r="K22" s="2">
        <v>30</v>
      </c>
      <c r="L22" s="2">
        <v>280</v>
      </c>
      <c r="M22" s="2">
        <f t="shared" si="11"/>
        <v>-33</v>
      </c>
      <c r="N22" s="2">
        <f t="shared" si="11"/>
        <v>11</v>
      </c>
      <c r="O22" s="23">
        <v>30</v>
      </c>
      <c r="P22" s="29">
        <v>40</v>
      </c>
      <c r="Q22" s="22" t="e">
        <f t="shared" si="10"/>
        <v>#REF!</v>
      </c>
      <c r="R22" s="22" t="e">
        <f t="shared" si="7"/>
        <v>#REF!</v>
      </c>
      <c r="S22" s="19"/>
      <c r="T22" s="2">
        <v>30</v>
      </c>
      <c r="U22" s="2">
        <v>145</v>
      </c>
      <c r="V22" s="2">
        <f t="shared" si="12"/>
        <v>-22</v>
      </c>
      <c r="W22" s="2">
        <f t="shared" si="12"/>
        <v>9</v>
      </c>
    </row>
    <row r="23" spans="2:23" x14ac:dyDescent="0.2">
      <c r="B23" s="46"/>
      <c r="C23" s="12"/>
      <c r="D23" s="47"/>
      <c r="F23" s="23">
        <v>40</v>
      </c>
      <c r="G23" s="29">
        <v>50</v>
      </c>
      <c r="H23" s="22" t="e">
        <f t="shared" si="8"/>
        <v>#REF!</v>
      </c>
      <c r="I23" s="22" t="e">
        <f t="shared" si="9"/>
        <v>#REF!</v>
      </c>
      <c r="J23" s="19"/>
      <c r="K23" s="2">
        <v>40</v>
      </c>
      <c r="L23" s="2">
        <v>252</v>
      </c>
      <c r="M23" s="2">
        <f t="shared" si="11"/>
        <v>-28</v>
      </c>
      <c r="N23" s="2">
        <f t="shared" si="11"/>
        <v>5</v>
      </c>
      <c r="O23" s="23">
        <v>40</v>
      </c>
      <c r="P23" s="29">
        <v>50</v>
      </c>
      <c r="Q23" s="22" t="e">
        <f t="shared" si="10"/>
        <v>#REF!</v>
      </c>
      <c r="R23" s="22" t="e">
        <f t="shared" si="7"/>
        <v>#REF!</v>
      </c>
      <c r="S23" s="19"/>
      <c r="T23" s="2">
        <v>40</v>
      </c>
      <c r="U23" s="2">
        <v>127</v>
      </c>
      <c r="V23" s="2">
        <f t="shared" si="12"/>
        <v>-18</v>
      </c>
      <c r="W23" s="2">
        <f t="shared" si="12"/>
        <v>4</v>
      </c>
    </row>
    <row r="24" spans="2:23" x14ac:dyDescent="0.2">
      <c r="B24" s="46" t="s">
        <v>5</v>
      </c>
      <c r="C24" s="48">
        <v>23.61</v>
      </c>
      <c r="D24" s="47" t="s">
        <v>1</v>
      </c>
      <c r="F24" s="21">
        <v>50</v>
      </c>
      <c r="G24" s="29">
        <v>60</v>
      </c>
      <c r="H24" s="22" t="e">
        <f t="shared" si="8"/>
        <v>#REF!</v>
      </c>
      <c r="I24" s="22" t="e">
        <f t="shared" si="9"/>
        <v>#REF!</v>
      </c>
      <c r="J24" s="19"/>
      <c r="K24" s="2">
        <v>50</v>
      </c>
      <c r="L24" s="2">
        <v>230</v>
      </c>
      <c r="M24" s="2">
        <f t="shared" si="11"/>
        <v>-22</v>
      </c>
      <c r="N24" s="2">
        <f t="shared" si="11"/>
        <v>6</v>
      </c>
      <c r="O24" s="21">
        <v>50</v>
      </c>
      <c r="P24" s="29">
        <v>60</v>
      </c>
      <c r="Q24" s="22" t="e">
        <f t="shared" si="10"/>
        <v>#REF!</v>
      </c>
      <c r="R24" s="22" t="e">
        <f t="shared" si="7"/>
        <v>#REF!</v>
      </c>
      <c r="S24" s="19"/>
      <c r="T24" s="2">
        <v>50</v>
      </c>
      <c r="U24" s="2">
        <v>111</v>
      </c>
      <c r="V24" s="2">
        <f t="shared" si="12"/>
        <v>-16</v>
      </c>
      <c r="W24" s="2">
        <f t="shared" si="12"/>
        <v>2</v>
      </c>
    </row>
    <row r="25" spans="2:23" x14ac:dyDescent="0.2">
      <c r="B25" s="46" t="s">
        <v>6</v>
      </c>
      <c r="C25" s="48">
        <v>0.219</v>
      </c>
      <c r="D25" s="47" t="s">
        <v>1</v>
      </c>
      <c r="F25" s="23">
        <v>60</v>
      </c>
      <c r="G25" s="29">
        <v>70</v>
      </c>
      <c r="H25" s="22" t="e">
        <f t="shared" si="8"/>
        <v>#REF!</v>
      </c>
      <c r="I25" s="22" t="e">
        <f t="shared" si="9"/>
        <v>#REF!</v>
      </c>
      <c r="J25" s="19"/>
      <c r="K25" s="2">
        <v>60</v>
      </c>
      <c r="L25" s="2">
        <v>210</v>
      </c>
      <c r="M25" s="2">
        <f t="shared" si="11"/>
        <v>-20</v>
      </c>
      <c r="N25" s="2">
        <f t="shared" si="11"/>
        <v>2</v>
      </c>
      <c r="O25" s="23">
        <v>60</v>
      </c>
      <c r="P25" s="29">
        <v>70</v>
      </c>
      <c r="Q25" s="22" t="e">
        <f t="shared" si="10"/>
        <v>#REF!</v>
      </c>
      <c r="R25" s="22" t="e">
        <f t="shared" si="7"/>
        <v>#REF!</v>
      </c>
      <c r="S25" s="19"/>
      <c r="T25" s="2">
        <v>60</v>
      </c>
      <c r="U25" s="2">
        <v>99</v>
      </c>
      <c r="V25" s="2">
        <f t="shared" si="12"/>
        <v>-12</v>
      </c>
      <c r="W25" s="2">
        <f t="shared" si="12"/>
        <v>4</v>
      </c>
    </row>
    <row r="26" spans="2:23" x14ac:dyDescent="0.2">
      <c r="B26" s="46" t="s">
        <v>7</v>
      </c>
      <c r="C26" s="13">
        <f>D20/60</f>
        <v>8.3333333333333329E-2</v>
      </c>
      <c r="D26" s="47" t="s">
        <v>1</v>
      </c>
      <c r="F26" s="23">
        <v>70</v>
      </c>
      <c r="G26" s="29">
        <v>80</v>
      </c>
      <c r="H26" s="22" t="e">
        <f t="shared" si="8"/>
        <v>#REF!</v>
      </c>
      <c r="I26" s="22" t="e">
        <f t="shared" si="9"/>
        <v>#REF!</v>
      </c>
      <c r="J26" s="19"/>
      <c r="K26" s="2">
        <v>70</v>
      </c>
      <c r="L26" s="2">
        <v>193</v>
      </c>
      <c r="M26" s="2">
        <f t="shared" si="11"/>
        <v>-17</v>
      </c>
      <c r="N26" s="2">
        <f t="shared" si="11"/>
        <v>3</v>
      </c>
      <c r="O26" s="23">
        <v>70</v>
      </c>
      <c r="P26" s="29">
        <v>80</v>
      </c>
      <c r="Q26" s="22" t="e">
        <f t="shared" si="10"/>
        <v>#REF!</v>
      </c>
      <c r="R26" s="22" t="e">
        <f t="shared" si="7"/>
        <v>#REF!</v>
      </c>
      <c r="S26" s="19"/>
      <c r="T26" s="2">
        <v>70</v>
      </c>
      <c r="U26" s="2">
        <v>88</v>
      </c>
      <c r="V26" s="2">
        <f t="shared" si="12"/>
        <v>-11</v>
      </c>
      <c r="W26" s="2">
        <f t="shared" si="12"/>
        <v>1</v>
      </c>
    </row>
    <row r="27" spans="2:23" x14ac:dyDescent="0.2">
      <c r="B27" s="46" t="s">
        <v>2</v>
      </c>
      <c r="C27" s="13">
        <f>C24/(C26+C25)</f>
        <v>78.092613009922815</v>
      </c>
      <c r="D27" s="47" t="s">
        <v>3</v>
      </c>
      <c r="F27" s="23">
        <v>80</v>
      </c>
      <c r="G27" s="29">
        <v>90</v>
      </c>
      <c r="H27" s="22" t="e">
        <f t="shared" si="8"/>
        <v>#REF!</v>
      </c>
      <c r="I27" s="22" t="e">
        <f t="shared" si="9"/>
        <v>#REF!</v>
      </c>
      <c r="J27" s="19"/>
      <c r="K27" s="2">
        <v>80</v>
      </c>
      <c r="L27" s="2">
        <v>178</v>
      </c>
      <c r="M27" s="2">
        <f t="shared" si="11"/>
        <v>-15</v>
      </c>
      <c r="N27" s="2">
        <f t="shared" si="11"/>
        <v>2</v>
      </c>
      <c r="O27" s="23">
        <v>80</v>
      </c>
      <c r="P27" s="29">
        <v>90</v>
      </c>
      <c r="Q27" s="22" t="e">
        <f t="shared" si="10"/>
        <v>#REF!</v>
      </c>
      <c r="R27" s="22" t="e">
        <f t="shared" si="7"/>
        <v>#REF!</v>
      </c>
      <c r="S27" s="19"/>
      <c r="T27" s="2">
        <v>80</v>
      </c>
      <c r="U27" s="2">
        <v>77</v>
      </c>
      <c r="V27" s="2">
        <f t="shared" si="12"/>
        <v>-11</v>
      </c>
      <c r="W27" s="2">
        <f t="shared" si="12"/>
        <v>0</v>
      </c>
    </row>
    <row r="28" spans="2:23" x14ac:dyDescent="0.2">
      <c r="B28" s="49" t="s">
        <v>2</v>
      </c>
      <c r="C28" s="50">
        <f>C27*2.78</f>
        <v>217.0974641675854</v>
      </c>
      <c r="D28" s="51" t="s">
        <v>8</v>
      </c>
      <c r="F28" s="21">
        <v>90</v>
      </c>
      <c r="G28" s="29">
        <v>100</v>
      </c>
      <c r="H28" s="22" t="e">
        <f t="shared" si="8"/>
        <v>#REF!</v>
      </c>
      <c r="I28" s="22" t="e">
        <f t="shared" si="9"/>
        <v>#REF!</v>
      </c>
      <c r="J28" s="19"/>
      <c r="K28" s="2">
        <v>90</v>
      </c>
      <c r="L28" s="2">
        <v>164</v>
      </c>
      <c r="M28" s="2">
        <f t="shared" si="11"/>
        <v>-14</v>
      </c>
      <c r="N28" s="2">
        <f t="shared" si="11"/>
        <v>1</v>
      </c>
      <c r="O28" s="21">
        <v>90</v>
      </c>
      <c r="P28" s="29">
        <v>100</v>
      </c>
      <c r="Q28" s="22" t="e">
        <f t="shared" si="10"/>
        <v>#REF!</v>
      </c>
      <c r="R28" s="22" t="e">
        <f t="shared" si="7"/>
        <v>#REF!</v>
      </c>
      <c r="S28" s="19"/>
      <c r="T28" s="2">
        <v>90</v>
      </c>
      <c r="U28" s="2">
        <v>69</v>
      </c>
      <c r="V28" s="2">
        <f t="shared" si="12"/>
        <v>-8</v>
      </c>
      <c r="W28" s="2">
        <f t="shared" si="12"/>
        <v>3</v>
      </c>
    </row>
    <row r="29" spans="2:23" x14ac:dyDescent="0.2">
      <c r="B29" s="16"/>
      <c r="C29" s="16"/>
      <c r="D29" s="16"/>
      <c r="F29" s="23">
        <v>100</v>
      </c>
      <c r="G29" s="29">
        <v>110</v>
      </c>
      <c r="H29" s="22" t="e">
        <f t="shared" si="8"/>
        <v>#REF!</v>
      </c>
      <c r="I29" s="22" t="e">
        <f t="shared" si="9"/>
        <v>#REF!</v>
      </c>
      <c r="J29" s="19"/>
      <c r="K29" s="2">
        <v>100</v>
      </c>
      <c r="L29" s="2">
        <v>151</v>
      </c>
      <c r="M29" s="2">
        <f t="shared" si="11"/>
        <v>-13</v>
      </c>
      <c r="N29" s="2">
        <f t="shared" si="11"/>
        <v>1</v>
      </c>
      <c r="O29" s="23">
        <v>100</v>
      </c>
      <c r="P29" s="29">
        <v>110</v>
      </c>
      <c r="Q29" s="22" t="e">
        <f t="shared" si="10"/>
        <v>#REF!</v>
      </c>
      <c r="R29" s="22" t="e">
        <f t="shared" si="7"/>
        <v>#REF!</v>
      </c>
      <c r="S29" s="19"/>
      <c r="T29" s="2">
        <v>100</v>
      </c>
      <c r="U29" s="2">
        <v>62</v>
      </c>
      <c r="V29" s="2">
        <f t="shared" si="12"/>
        <v>-7</v>
      </c>
      <c r="W29" s="2">
        <f t="shared" si="12"/>
        <v>1</v>
      </c>
    </row>
    <row r="30" spans="2:23" x14ac:dyDescent="0.2">
      <c r="B30" s="43" t="s">
        <v>9</v>
      </c>
      <c r="C30" s="44" t="s">
        <v>10</v>
      </c>
      <c r="D30" s="45"/>
      <c r="F30" s="24">
        <v>110</v>
      </c>
      <c r="G30" s="30">
        <v>120</v>
      </c>
      <c r="H30" s="22" t="e">
        <f t="shared" si="8"/>
        <v>#REF!</v>
      </c>
      <c r="I30" s="25" t="e">
        <f t="shared" si="9"/>
        <v>#REF!</v>
      </c>
      <c r="J30" s="19"/>
      <c r="K30" s="2">
        <v>110</v>
      </c>
      <c r="L30" s="2">
        <v>140</v>
      </c>
      <c r="M30" s="2">
        <f t="shared" si="11"/>
        <v>-11</v>
      </c>
      <c r="N30" s="2">
        <f t="shared" si="11"/>
        <v>2</v>
      </c>
      <c r="O30" s="24">
        <v>110</v>
      </c>
      <c r="P30" s="30">
        <v>120</v>
      </c>
      <c r="Q30" s="22" t="e">
        <f t="shared" si="10"/>
        <v>#REF!</v>
      </c>
      <c r="R30" s="25" t="e">
        <f t="shared" si="7"/>
        <v>#REF!</v>
      </c>
      <c r="S30" s="19"/>
      <c r="T30" s="2">
        <v>110</v>
      </c>
      <c r="U30" s="2">
        <v>56</v>
      </c>
      <c r="V30" s="2">
        <f t="shared" si="12"/>
        <v>-6</v>
      </c>
      <c r="W30" s="2">
        <f t="shared" si="12"/>
        <v>1</v>
      </c>
    </row>
    <row r="31" spans="2:23" x14ac:dyDescent="0.2">
      <c r="B31" s="46"/>
      <c r="C31" s="12"/>
      <c r="D31" s="47"/>
      <c r="F31" s="5"/>
      <c r="K31" s="2">
        <v>120</v>
      </c>
      <c r="L31" s="2">
        <v>130</v>
      </c>
      <c r="M31" s="2">
        <f t="shared" si="11"/>
        <v>-10</v>
      </c>
      <c r="N31" s="2">
        <f>M31-M30</f>
        <v>1</v>
      </c>
      <c r="O31" s="5"/>
      <c r="S31" s="19"/>
      <c r="T31" s="2">
        <v>120</v>
      </c>
      <c r="U31" s="2">
        <v>50</v>
      </c>
      <c r="V31" s="2">
        <f t="shared" si="12"/>
        <v>-6</v>
      </c>
      <c r="W31" s="2">
        <f>V31-V30</f>
        <v>0</v>
      </c>
    </row>
    <row r="32" spans="2:23" x14ac:dyDescent="0.2">
      <c r="B32" s="46" t="s">
        <v>5</v>
      </c>
      <c r="C32" s="48">
        <v>28.6</v>
      </c>
      <c r="D32" s="47" t="s">
        <v>1</v>
      </c>
      <c r="F32" s="274" t="s">
        <v>26</v>
      </c>
      <c r="G32" s="275"/>
      <c r="H32" s="275"/>
      <c r="I32" s="276"/>
      <c r="J32" s="20"/>
      <c r="K32" s="20"/>
      <c r="L32" s="20"/>
      <c r="M32" s="20"/>
      <c r="N32" s="20"/>
      <c r="O32" s="274" t="s">
        <v>27</v>
      </c>
      <c r="P32" s="275"/>
      <c r="Q32" s="275"/>
      <c r="R32" s="276"/>
      <c r="S32" s="19"/>
    </row>
    <row r="33" spans="2:21" x14ac:dyDescent="0.2">
      <c r="B33" s="46" t="s">
        <v>6</v>
      </c>
      <c r="C33" s="48">
        <v>0.224</v>
      </c>
      <c r="D33" s="47" t="s">
        <v>1</v>
      </c>
      <c r="F33" s="274" t="s">
        <v>16</v>
      </c>
      <c r="G33" s="276"/>
      <c r="H33" s="31"/>
      <c r="I33" s="31" t="s">
        <v>17</v>
      </c>
      <c r="J33" s="17"/>
      <c r="K33" s="17" t="s">
        <v>19</v>
      </c>
      <c r="L33" s="17" t="s">
        <v>20</v>
      </c>
      <c r="M33" s="17"/>
      <c r="N33" s="17"/>
      <c r="O33" s="274" t="s">
        <v>16</v>
      </c>
      <c r="P33" s="276"/>
      <c r="Q33" s="31"/>
      <c r="R33" s="31" t="s">
        <v>17</v>
      </c>
      <c r="T33" s="17" t="s">
        <v>19</v>
      </c>
      <c r="U33" s="17" t="s">
        <v>20</v>
      </c>
    </row>
    <row r="34" spans="2:21" x14ac:dyDescent="0.2">
      <c r="B34" s="46" t="s">
        <v>7</v>
      </c>
      <c r="C34" s="13">
        <f>D20/60</f>
        <v>8.3333333333333329E-2</v>
      </c>
      <c r="D34" s="47" t="s">
        <v>1</v>
      </c>
      <c r="F34" s="21">
        <v>5</v>
      </c>
      <c r="G34" s="29">
        <v>10</v>
      </c>
      <c r="H34" s="22" t="e">
        <f>IF(AND($C$11&gt;=F34,$C$11&lt;G34,1),I34,0)</f>
        <v>#REF!</v>
      </c>
      <c r="I34" s="22" t="e">
        <f t="shared" ref="I34:I45" si="13">AVERAGE(I4,I19)</f>
        <v>#REF!</v>
      </c>
      <c r="J34" s="19"/>
      <c r="K34" s="2">
        <v>5</v>
      </c>
      <c r="L34" s="2">
        <f>AVERAGE(L4,L19)</f>
        <v>356</v>
      </c>
      <c r="M34" s="2"/>
      <c r="N34" s="2"/>
      <c r="O34" s="21">
        <v>5</v>
      </c>
      <c r="P34" s="29">
        <v>10</v>
      </c>
      <c r="Q34" s="22" t="e">
        <f>IF(AND($C$11&gt;=O34,$C$11&lt;P34,1),R34,0)</f>
        <v>#REF!</v>
      </c>
      <c r="R34" s="22" t="e">
        <f t="shared" ref="R34:R45" si="14">AVERAGE(R4,R19)</f>
        <v>#REF!</v>
      </c>
      <c r="T34" s="2">
        <v>5</v>
      </c>
      <c r="U34" s="2">
        <f>AVERAGE(U4,U19)</f>
        <v>202</v>
      </c>
    </row>
    <row r="35" spans="2:21" x14ac:dyDescent="0.2">
      <c r="B35" s="46" t="s">
        <v>2</v>
      </c>
      <c r="C35" s="13">
        <f>C32/(C34+C33)</f>
        <v>93.058568329718</v>
      </c>
      <c r="D35" s="47" t="s">
        <v>3</v>
      </c>
      <c r="F35" s="21">
        <v>10</v>
      </c>
      <c r="G35" s="29">
        <v>20</v>
      </c>
      <c r="H35" s="22" t="e">
        <f t="shared" ref="H35:H45" si="15">IF(AND($C$11&gt;=F35,$C$11&lt;G35,1),I35,0)</f>
        <v>#REF!</v>
      </c>
      <c r="I35" s="22" t="e">
        <f t="shared" si="13"/>
        <v>#REF!</v>
      </c>
      <c r="J35" s="19"/>
      <c r="K35" s="2">
        <v>10</v>
      </c>
      <c r="L35" s="2">
        <f t="shared" ref="L35:L46" si="16">AVERAGE(L5,L20)</f>
        <v>320.5</v>
      </c>
      <c r="M35" s="2"/>
      <c r="N35" s="2"/>
      <c r="O35" s="21">
        <v>10</v>
      </c>
      <c r="P35" s="29">
        <v>20</v>
      </c>
      <c r="Q35" s="22" t="e">
        <f t="shared" ref="Q35:Q45" si="17">IF(AND($C$11&gt;=O35,$C$11&lt;P35,1),R35,0)</f>
        <v>#REF!</v>
      </c>
      <c r="R35" s="22" t="e">
        <f t="shared" si="14"/>
        <v>#REF!</v>
      </c>
      <c r="T35" s="2">
        <v>10</v>
      </c>
      <c r="U35" s="2">
        <f t="shared" ref="U35:U46" si="18">AVERAGE(U5,U20)</f>
        <v>178.5</v>
      </c>
    </row>
    <row r="36" spans="2:21" x14ac:dyDescent="0.2">
      <c r="B36" s="49" t="s">
        <v>2</v>
      </c>
      <c r="C36" s="50">
        <f>C35*2.78</f>
        <v>258.702819956616</v>
      </c>
      <c r="D36" s="51" t="s">
        <v>8</v>
      </c>
      <c r="F36" s="23">
        <v>20</v>
      </c>
      <c r="G36" s="29">
        <v>30</v>
      </c>
      <c r="H36" s="22" t="e">
        <f t="shared" si="15"/>
        <v>#REF!</v>
      </c>
      <c r="I36" s="22" t="e">
        <f t="shared" si="13"/>
        <v>#REF!</v>
      </c>
      <c r="J36" s="19"/>
      <c r="K36" s="2">
        <v>20</v>
      </c>
      <c r="L36" s="2">
        <f t="shared" si="16"/>
        <v>279.5</v>
      </c>
      <c r="M36" s="2"/>
      <c r="N36" s="2"/>
      <c r="O36" s="23">
        <v>20</v>
      </c>
      <c r="P36" s="29">
        <v>30</v>
      </c>
      <c r="Q36" s="22" t="e">
        <f t="shared" si="17"/>
        <v>#REF!</v>
      </c>
      <c r="R36" s="22" t="e">
        <f t="shared" si="14"/>
        <v>#REF!</v>
      </c>
      <c r="T36" s="2">
        <v>20</v>
      </c>
      <c r="U36" s="2">
        <f t="shared" si="18"/>
        <v>149.5</v>
      </c>
    </row>
    <row r="37" spans="2:21" ht="12" customHeight="1" x14ac:dyDescent="0.2">
      <c r="B37" s="16"/>
      <c r="C37" s="16"/>
      <c r="D37" s="16"/>
      <c r="F37" s="23">
        <v>30</v>
      </c>
      <c r="G37" s="29">
        <v>40</v>
      </c>
      <c r="H37" s="22" t="e">
        <f t="shared" si="15"/>
        <v>#REF!</v>
      </c>
      <c r="I37" s="22" t="e">
        <f t="shared" si="13"/>
        <v>#REF!</v>
      </c>
      <c r="J37" s="19"/>
      <c r="K37" s="2">
        <v>30</v>
      </c>
      <c r="L37" s="2">
        <f t="shared" si="16"/>
        <v>248.5</v>
      </c>
      <c r="M37" s="2"/>
      <c r="N37" s="2"/>
      <c r="O37" s="23">
        <v>30</v>
      </c>
      <c r="P37" s="29">
        <v>40</v>
      </c>
      <c r="Q37" s="22" t="e">
        <f t="shared" si="17"/>
        <v>#REF!</v>
      </c>
      <c r="R37" s="22" t="e">
        <f t="shared" si="14"/>
        <v>#REF!</v>
      </c>
      <c r="T37" s="2">
        <v>30</v>
      </c>
      <c r="U37" s="2">
        <f t="shared" si="18"/>
        <v>128</v>
      </c>
    </row>
    <row r="38" spans="2:21" x14ac:dyDescent="0.2">
      <c r="B38" s="16" t="s">
        <v>4</v>
      </c>
      <c r="C38" s="16"/>
      <c r="D38" s="52">
        <f>'A2'!C28</f>
        <v>217.0974641675854</v>
      </c>
      <c r="F38" s="23">
        <v>40</v>
      </c>
      <c r="G38" s="29">
        <v>50</v>
      </c>
      <c r="H38" s="22" t="e">
        <f t="shared" si="15"/>
        <v>#REF!</v>
      </c>
      <c r="I38" s="22" t="e">
        <f t="shared" si="13"/>
        <v>#REF!</v>
      </c>
      <c r="J38" s="19"/>
      <c r="K38" s="2">
        <v>40</v>
      </c>
      <c r="L38" s="2">
        <f t="shared" si="16"/>
        <v>223.5</v>
      </c>
      <c r="M38" s="2"/>
      <c r="N38" s="2"/>
      <c r="O38" s="23">
        <v>40</v>
      </c>
      <c r="P38" s="29">
        <v>50</v>
      </c>
      <c r="Q38" s="22" t="e">
        <f t="shared" si="17"/>
        <v>#REF!</v>
      </c>
      <c r="R38" s="22" t="e">
        <f t="shared" si="14"/>
        <v>#REF!</v>
      </c>
      <c r="S38" s="20"/>
      <c r="T38" s="2">
        <v>40</v>
      </c>
      <c r="U38" s="2">
        <f t="shared" si="18"/>
        <v>111.5</v>
      </c>
    </row>
    <row r="39" spans="2:21" x14ac:dyDescent="0.2">
      <c r="B39" s="16" t="s">
        <v>10</v>
      </c>
      <c r="C39" s="16"/>
      <c r="D39" s="52">
        <f>'A2'!C36</f>
        <v>258.702819956616</v>
      </c>
      <c r="F39" s="21">
        <v>50</v>
      </c>
      <c r="G39" s="29">
        <v>60</v>
      </c>
      <c r="H39" s="22" t="e">
        <f t="shared" si="15"/>
        <v>#REF!</v>
      </c>
      <c r="I39" s="22" t="e">
        <f>AVERAGE(I9,I24)</f>
        <v>#REF!</v>
      </c>
      <c r="J39" s="19"/>
      <c r="K39" s="2">
        <v>50</v>
      </c>
      <c r="L39" s="2">
        <f t="shared" si="16"/>
        <v>203</v>
      </c>
      <c r="M39" s="2"/>
      <c r="N39" s="2"/>
      <c r="O39" s="21">
        <v>50</v>
      </c>
      <c r="P39" s="29">
        <v>60</v>
      </c>
      <c r="Q39" s="22" t="e">
        <f t="shared" si="17"/>
        <v>#REF!</v>
      </c>
      <c r="R39" s="22" t="e">
        <f>AVERAGE(R9,R24)</f>
        <v>#REF!</v>
      </c>
      <c r="S39" s="17"/>
      <c r="T39" s="2">
        <v>50</v>
      </c>
      <c r="U39" s="2">
        <f t="shared" si="18"/>
        <v>96.5</v>
      </c>
    </row>
    <row r="40" spans="2:21" x14ac:dyDescent="0.2">
      <c r="B40" s="16" t="s">
        <v>12</v>
      </c>
      <c r="C40" s="16"/>
      <c r="D40" s="52">
        <f>AVERAGE(D38:D39)</f>
        <v>237.90014206210071</v>
      </c>
      <c r="E40" s="5"/>
      <c r="F40" s="23">
        <v>60</v>
      </c>
      <c r="G40" s="29">
        <v>70</v>
      </c>
      <c r="H40" s="22" t="e">
        <f t="shared" si="15"/>
        <v>#REF!</v>
      </c>
      <c r="I40" s="22" t="e">
        <f>AVERAGE(I10,I25)</f>
        <v>#REF!</v>
      </c>
      <c r="J40" s="19"/>
      <c r="K40" s="2">
        <v>60</v>
      </c>
      <c r="L40" s="2">
        <f t="shared" si="16"/>
        <v>184.5</v>
      </c>
      <c r="M40" s="2"/>
      <c r="N40" s="2"/>
      <c r="O40" s="23">
        <v>60</v>
      </c>
      <c r="P40" s="29">
        <v>70</v>
      </c>
      <c r="Q40" s="22" t="e">
        <f t="shared" si="17"/>
        <v>#REF!</v>
      </c>
      <c r="R40" s="22" t="e">
        <f>AVERAGE(R10,R25)</f>
        <v>#REF!</v>
      </c>
      <c r="S40" s="19"/>
      <c r="T40" s="2">
        <v>60</v>
      </c>
      <c r="U40" s="2">
        <f t="shared" si="18"/>
        <v>84.5</v>
      </c>
    </row>
    <row r="41" spans="2:21" x14ac:dyDescent="0.2">
      <c r="B41" s="16"/>
      <c r="C41" s="16"/>
      <c r="D41" s="16"/>
      <c r="F41" s="23">
        <v>70</v>
      </c>
      <c r="G41" s="29">
        <v>80</v>
      </c>
      <c r="H41" s="22" t="e">
        <f t="shared" si="15"/>
        <v>#REF!</v>
      </c>
      <c r="I41" s="22" t="e">
        <f>AVERAGE(I11,I26)</f>
        <v>#REF!</v>
      </c>
      <c r="J41" s="19"/>
      <c r="K41" s="2">
        <v>70</v>
      </c>
      <c r="L41" s="2">
        <f t="shared" si="16"/>
        <v>168.5</v>
      </c>
      <c r="M41" s="2"/>
      <c r="N41" s="2"/>
      <c r="O41" s="23">
        <v>70</v>
      </c>
      <c r="P41" s="29">
        <v>80</v>
      </c>
      <c r="Q41" s="22" t="e">
        <f t="shared" si="17"/>
        <v>#REF!</v>
      </c>
      <c r="R41" s="22" t="e">
        <f>AVERAGE(R11,R26)</f>
        <v>#REF!</v>
      </c>
      <c r="S41" s="19"/>
      <c r="T41" s="2">
        <v>70</v>
      </c>
      <c r="U41" s="2">
        <f t="shared" si="18"/>
        <v>74.5</v>
      </c>
    </row>
    <row r="42" spans="2:21" x14ac:dyDescent="0.2">
      <c r="B42" s="16" t="s">
        <v>11</v>
      </c>
      <c r="D42" s="15" t="e">
        <f>IF(#REF!=B7,D38,IF(#REF!=B8,D39,D40))</f>
        <v>#REF!</v>
      </c>
      <c r="E42" s="14"/>
      <c r="F42" s="23">
        <v>80</v>
      </c>
      <c r="G42" s="29">
        <v>90</v>
      </c>
      <c r="H42" s="22" t="e">
        <f t="shared" si="15"/>
        <v>#REF!</v>
      </c>
      <c r="I42" s="22" t="e">
        <f t="shared" si="13"/>
        <v>#REF!</v>
      </c>
      <c r="J42" s="19"/>
      <c r="K42" s="2">
        <v>80</v>
      </c>
      <c r="L42" s="2">
        <f t="shared" si="16"/>
        <v>154.5</v>
      </c>
      <c r="M42" s="2"/>
      <c r="N42" s="2"/>
      <c r="O42" s="23">
        <v>80</v>
      </c>
      <c r="P42" s="29">
        <v>90</v>
      </c>
      <c r="Q42" s="22" t="e">
        <f t="shared" si="17"/>
        <v>#REF!</v>
      </c>
      <c r="R42" s="22" t="e">
        <f t="shared" si="14"/>
        <v>#REF!</v>
      </c>
      <c r="S42" s="19"/>
      <c r="T42" s="2">
        <v>80</v>
      </c>
      <c r="U42" s="2">
        <f t="shared" si="18"/>
        <v>65</v>
      </c>
    </row>
    <row r="43" spans="2:21" x14ac:dyDescent="0.2">
      <c r="E43" s="14"/>
      <c r="F43" s="21">
        <v>90</v>
      </c>
      <c r="G43" s="29">
        <v>100</v>
      </c>
      <c r="H43" s="22" t="e">
        <f t="shared" si="15"/>
        <v>#REF!</v>
      </c>
      <c r="I43" s="22" t="e">
        <f t="shared" si="13"/>
        <v>#REF!</v>
      </c>
      <c r="J43" s="19"/>
      <c r="K43" s="2">
        <v>90</v>
      </c>
      <c r="L43" s="2">
        <f t="shared" si="16"/>
        <v>142</v>
      </c>
      <c r="M43" s="2"/>
      <c r="N43" s="2"/>
      <c r="O43" s="21">
        <v>90</v>
      </c>
      <c r="P43" s="29">
        <v>100</v>
      </c>
      <c r="Q43" s="22" t="e">
        <f t="shared" si="17"/>
        <v>#REF!</v>
      </c>
      <c r="R43" s="22" t="e">
        <f t="shared" si="14"/>
        <v>#REF!</v>
      </c>
      <c r="S43" s="19"/>
      <c r="T43" s="2">
        <v>90</v>
      </c>
      <c r="U43" s="2">
        <f t="shared" si="18"/>
        <v>57.5</v>
      </c>
    </row>
    <row r="44" spans="2:21" x14ac:dyDescent="0.2">
      <c r="E44" s="12"/>
      <c r="F44" s="23">
        <v>100</v>
      </c>
      <c r="G44" s="29">
        <v>110</v>
      </c>
      <c r="H44" s="22" t="e">
        <f t="shared" si="15"/>
        <v>#REF!</v>
      </c>
      <c r="I44" s="22" t="e">
        <f t="shared" si="13"/>
        <v>#REF!</v>
      </c>
      <c r="J44" s="19"/>
      <c r="K44" s="2">
        <v>100</v>
      </c>
      <c r="L44" s="2">
        <f t="shared" si="16"/>
        <v>130.5</v>
      </c>
      <c r="M44" s="2"/>
      <c r="N44" s="2"/>
      <c r="O44" s="23">
        <v>100</v>
      </c>
      <c r="P44" s="29">
        <v>110</v>
      </c>
      <c r="Q44" s="22" t="e">
        <f t="shared" si="17"/>
        <v>#REF!</v>
      </c>
      <c r="R44" s="22" t="e">
        <f t="shared" si="14"/>
        <v>#REF!</v>
      </c>
      <c r="S44" s="19"/>
      <c r="T44" s="2">
        <v>100</v>
      </c>
      <c r="U44" s="2">
        <f t="shared" si="18"/>
        <v>51.5</v>
      </c>
    </row>
    <row r="45" spans="2:21" x14ac:dyDescent="0.2">
      <c r="E45" s="12"/>
      <c r="F45" s="24">
        <v>110</v>
      </c>
      <c r="G45" s="30">
        <v>120</v>
      </c>
      <c r="H45" s="22" t="e">
        <f t="shared" si="15"/>
        <v>#REF!</v>
      </c>
      <c r="I45" s="25" t="e">
        <f t="shared" si="13"/>
        <v>#REF!</v>
      </c>
      <c r="J45" s="19"/>
      <c r="K45" s="2">
        <v>110</v>
      </c>
      <c r="L45" s="2">
        <f t="shared" si="16"/>
        <v>120.5</v>
      </c>
      <c r="M45" s="2"/>
      <c r="N45" s="2"/>
      <c r="O45" s="24">
        <v>110</v>
      </c>
      <c r="P45" s="30">
        <v>120</v>
      </c>
      <c r="Q45" s="22" t="e">
        <f t="shared" si="17"/>
        <v>#REF!</v>
      </c>
      <c r="R45" s="25" t="e">
        <f t="shared" si="14"/>
        <v>#REF!</v>
      </c>
      <c r="S45" s="19"/>
      <c r="T45" s="2">
        <v>110</v>
      </c>
      <c r="U45" s="2">
        <f t="shared" si="18"/>
        <v>47</v>
      </c>
    </row>
    <row r="46" spans="2:21" x14ac:dyDescent="0.2">
      <c r="E46" s="12"/>
      <c r="F46" s="5"/>
      <c r="K46" s="2">
        <v>120</v>
      </c>
      <c r="L46" s="2">
        <f t="shared" si="16"/>
        <v>111.5</v>
      </c>
      <c r="M46" s="2"/>
      <c r="N46" s="2"/>
      <c r="O46" s="5"/>
      <c r="S46" s="19"/>
      <c r="T46" s="2">
        <v>120</v>
      </c>
      <c r="U46" s="2">
        <f t="shared" si="18"/>
        <v>42.5</v>
      </c>
    </row>
    <row r="47" spans="2:21" x14ac:dyDescent="0.2">
      <c r="E47" s="12"/>
      <c r="S47" s="19"/>
      <c r="T47" s="2"/>
      <c r="U47" s="2"/>
    </row>
    <row r="48" spans="2:21" x14ac:dyDescent="0.2">
      <c r="E48" s="12"/>
      <c r="F48" s="43" t="s">
        <v>29</v>
      </c>
      <c r="G48" s="53"/>
      <c r="H48" s="53"/>
      <c r="I48" s="53"/>
      <c r="J48" s="53"/>
      <c r="K48" s="53"/>
      <c r="L48" s="53"/>
      <c r="M48" s="53"/>
      <c r="N48" s="53"/>
      <c r="O48" s="53"/>
      <c r="P48" s="53"/>
      <c r="Q48" s="54"/>
      <c r="S48" s="19"/>
      <c r="T48" s="2"/>
      <c r="U48" s="2"/>
    </row>
    <row r="49" spans="5:21" x14ac:dyDescent="0.2">
      <c r="F49" s="55"/>
      <c r="G49" s="14" t="e">
        <f>#REF!</f>
        <v>#REF!</v>
      </c>
      <c r="H49" s="14">
        <v>0</v>
      </c>
      <c r="I49" s="14"/>
      <c r="J49" s="14"/>
      <c r="K49" s="14"/>
      <c r="L49" s="14"/>
      <c r="M49" s="14"/>
      <c r="N49" s="14"/>
      <c r="O49" s="14"/>
      <c r="P49" s="14"/>
      <c r="Q49" s="56"/>
      <c r="S49" s="19"/>
      <c r="T49" s="2"/>
      <c r="U49" s="2"/>
    </row>
    <row r="50" spans="5:21" x14ac:dyDescent="0.2">
      <c r="E50" s="14"/>
      <c r="F50" s="55"/>
      <c r="G50" s="14" t="e">
        <f>#REF!</f>
        <v>#REF!</v>
      </c>
      <c r="H50" s="57" t="e">
        <f>#REF!</f>
        <v>#REF!</v>
      </c>
      <c r="I50" s="14"/>
      <c r="J50" s="14"/>
      <c r="K50" s="14"/>
      <c r="L50" s="14"/>
      <c r="M50" s="14"/>
      <c r="N50" s="14"/>
      <c r="O50" s="14"/>
      <c r="P50" s="14"/>
      <c r="Q50" s="56"/>
      <c r="S50" s="19"/>
      <c r="T50" s="2"/>
      <c r="U50" s="2"/>
    </row>
    <row r="51" spans="5:21" x14ac:dyDescent="0.2">
      <c r="E51" s="14"/>
      <c r="F51" s="55"/>
      <c r="G51" s="14"/>
      <c r="H51" s="14"/>
      <c r="I51" s="14"/>
      <c r="J51" s="14"/>
      <c r="K51" s="14"/>
      <c r="L51" s="14"/>
      <c r="M51" s="14"/>
      <c r="N51" s="14"/>
      <c r="O51" s="14"/>
      <c r="P51" s="14"/>
      <c r="Q51" s="56"/>
      <c r="S51" s="19"/>
      <c r="T51" s="2"/>
      <c r="U51" s="2"/>
    </row>
    <row r="52" spans="5:21" x14ac:dyDescent="0.2">
      <c r="E52" s="12"/>
      <c r="F52" s="55"/>
      <c r="G52" s="57" t="e">
        <f>#REF!</f>
        <v>#REF!</v>
      </c>
      <c r="H52" s="14">
        <v>0</v>
      </c>
      <c r="I52" s="14"/>
      <c r="J52" s="14"/>
      <c r="K52" s="14"/>
      <c r="L52" s="14"/>
      <c r="M52" s="14"/>
      <c r="N52" s="14"/>
      <c r="O52" s="14"/>
      <c r="P52" s="14"/>
      <c r="Q52" s="56"/>
      <c r="T52" s="2"/>
      <c r="U52" s="2"/>
    </row>
    <row r="53" spans="5:21" x14ac:dyDescent="0.2">
      <c r="E53" s="12"/>
      <c r="F53" s="55"/>
      <c r="G53" s="57" t="e">
        <f>#REF!</f>
        <v>#REF!</v>
      </c>
      <c r="H53" s="14" t="e">
        <f>#REF!</f>
        <v>#REF!</v>
      </c>
      <c r="I53" s="14"/>
      <c r="J53" s="14"/>
      <c r="K53" s="14"/>
      <c r="L53" s="14"/>
      <c r="M53" s="14"/>
      <c r="N53" s="14"/>
      <c r="O53" s="14"/>
      <c r="P53" s="14"/>
      <c r="Q53" s="56"/>
    </row>
    <row r="54" spans="5:21" x14ac:dyDescent="0.2">
      <c r="E54" s="12"/>
      <c r="F54" s="55"/>
      <c r="G54" s="14"/>
      <c r="H54" s="14"/>
      <c r="I54" s="14"/>
      <c r="J54" s="14"/>
      <c r="K54" s="14"/>
      <c r="L54" s="14"/>
      <c r="M54" s="14"/>
      <c r="N54" s="14"/>
      <c r="O54" s="14"/>
      <c r="P54" s="14"/>
      <c r="Q54" s="56"/>
    </row>
    <row r="55" spans="5:21" x14ac:dyDescent="0.2">
      <c r="E55" s="12"/>
      <c r="F55" s="55"/>
      <c r="G55" s="6"/>
      <c r="H55" s="12" t="s">
        <v>24</v>
      </c>
      <c r="I55" s="6"/>
      <c r="J55" s="6"/>
      <c r="K55" s="6"/>
      <c r="L55" s="14" t="e">
        <f>#REF!</f>
        <v>#REF!</v>
      </c>
      <c r="M55" s="14"/>
      <c r="N55" s="14"/>
      <c r="O55" s="6"/>
      <c r="P55" s="14"/>
      <c r="Q55" s="47" t="s">
        <v>23</v>
      </c>
    </row>
    <row r="56" spans="5:21" x14ac:dyDescent="0.2">
      <c r="E56" s="12"/>
      <c r="F56" s="55"/>
      <c r="G56" s="58">
        <v>5</v>
      </c>
      <c r="H56" s="6" t="e">
        <f>IF(#REF!="Plateau",L4,0)+IF(#REF!="Préalpes",L19,0)+IF(#REF!="Transition",L34,0)</f>
        <v>#REF!</v>
      </c>
      <c r="I56" s="6"/>
      <c r="J56" s="6"/>
      <c r="K56" s="58">
        <v>5</v>
      </c>
      <c r="L56" s="65" t="e">
        <f>IF($L$55="5 ans",H56,0)+IF($L$55="1 an",Q56,0)</f>
        <v>#REF!</v>
      </c>
      <c r="M56" s="6"/>
      <c r="N56" s="6"/>
      <c r="O56" s="6"/>
      <c r="P56" s="58">
        <v>5</v>
      </c>
      <c r="Q56" s="59" t="e">
        <f>IF(#REF!="Plateau",U4,0)+IF(#REF!="Préalpes",U19,0)+IF(#REF!="Transition",U34,0)</f>
        <v>#REF!</v>
      </c>
      <c r="T56" s="2"/>
    </row>
    <row r="57" spans="5:21" x14ac:dyDescent="0.2">
      <c r="F57" s="55"/>
      <c r="G57" s="58">
        <v>10</v>
      </c>
      <c r="H57" s="6" t="e">
        <f>IF(#REF!="Plateau",L5,0)+IF(#REF!="Préalpes",L20,0)+IF(#REF!="Transition",L35,0)</f>
        <v>#REF!</v>
      </c>
      <c r="I57" s="6"/>
      <c r="J57" s="6"/>
      <c r="K57" s="58">
        <v>10</v>
      </c>
      <c r="L57" s="65" t="e">
        <f t="shared" ref="L57:L68" si="19">IF($L$55="5 ans",H57,0)+IF($L$55="1 an",Q57,0)</f>
        <v>#REF!</v>
      </c>
      <c r="M57" s="6"/>
      <c r="N57" s="6"/>
      <c r="O57" s="6"/>
      <c r="P57" s="58">
        <v>10</v>
      </c>
      <c r="Q57" s="59" t="e">
        <f>IF(#REF!="Plateau",U5,0)+IF(#REF!="Préalpes",U20,0)+IF(#REF!="Transition",U35,0)</f>
        <v>#REF!</v>
      </c>
      <c r="T57" s="2"/>
    </row>
    <row r="58" spans="5:21" x14ac:dyDescent="0.2">
      <c r="F58" s="55"/>
      <c r="G58" s="58">
        <v>20</v>
      </c>
      <c r="H58" s="6" t="e">
        <f>IF(#REF!="Plateau",L6,0)+IF(#REF!="Préalpes",L21,0)+IF(#REF!="Transition",L36,0)</f>
        <v>#REF!</v>
      </c>
      <c r="I58" s="6"/>
      <c r="J58" s="6"/>
      <c r="K58" s="58">
        <v>20</v>
      </c>
      <c r="L58" s="65" t="e">
        <f t="shared" si="19"/>
        <v>#REF!</v>
      </c>
      <c r="M58" s="6"/>
      <c r="N58" s="6"/>
      <c r="O58" s="6"/>
      <c r="P58" s="58">
        <v>20</v>
      </c>
      <c r="Q58" s="59" t="e">
        <f>IF(#REF!="Plateau",U6,0)+IF(#REF!="Préalpes",U21,0)+IF(#REF!="Transition",U36,0)</f>
        <v>#REF!</v>
      </c>
      <c r="T58" s="2"/>
    </row>
    <row r="59" spans="5:21" x14ac:dyDescent="0.2">
      <c r="F59" s="55"/>
      <c r="G59" s="58">
        <v>30</v>
      </c>
      <c r="H59" s="6" t="e">
        <f>IF(#REF!="Plateau",L7,0)+IF(#REF!="Préalpes",L22,0)+IF(#REF!="Transition",L37,0)</f>
        <v>#REF!</v>
      </c>
      <c r="I59" s="6"/>
      <c r="J59" s="6"/>
      <c r="K59" s="58">
        <v>30</v>
      </c>
      <c r="L59" s="65" t="e">
        <f t="shared" si="19"/>
        <v>#REF!</v>
      </c>
      <c r="M59" s="6"/>
      <c r="N59" s="6"/>
      <c r="O59" s="6"/>
      <c r="P59" s="58">
        <v>30</v>
      </c>
      <c r="Q59" s="59" t="e">
        <f>IF(#REF!="Plateau",U7,0)+IF(#REF!="Préalpes",U22,0)+IF(#REF!="Transition",U37,0)</f>
        <v>#REF!</v>
      </c>
      <c r="T59" s="2"/>
    </row>
    <row r="60" spans="5:21" x14ac:dyDescent="0.2">
      <c r="E60" s="15"/>
      <c r="F60" s="55"/>
      <c r="G60" s="58">
        <v>40</v>
      </c>
      <c r="H60" s="6" t="e">
        <f>IF(#REF!="Plateau",L8,0)+IF(#REF!="Préalpes",L23,0)+IF(#REF!="Transition",L38,0)</f>
        <v>#REF!</v>
      </c>
      <c r="I60" s="6"/>
      <c r="J60" s="6"/>
      <c r="K60" s="58">
        <v>40</v>
      </c>
      <c r="L60" s="65" t="e">
        <f t="shared" si="19"/>
        <v>#REF!</v>
      </c>
      <c r="M60" s="6"/>
      <c r="N60" s="6"/>
      <c r="O60" s="6"/>
      <c r="P60" s="58">
        <v>40</v>
      </c>
      <c r="Q60" s="59" t="e">
        <f>IF(#REF!="Plateau",U8,0)+IF(#REF!="Préalpes",U23,0)+IF(#REF!="Transition",U38,0)</f>
        <v>#REF!</v>
      </c>
      <c r="T60" s="2"/>
    </row>
    <row r="61" spans="5:21" x14ac:dyDescent="0.2">
      <c r="E61" s="15"/>
      <c r="F61" s="55"/>
      <c r="G61" s="58">
        <v>50</v>
      </c>
      <c r="H61" s="6" t="e">
        <f>IF(#REF!="Plateau",L9,0)+IF(#REF!="Préalpes",L24,0)+IF(#REF!="Transition",L39,0)</f>
        <v>#REF!</v>
      </c>
      <c r="I61" s="6"/>
      <c r="J61" s="6"/>
      <c r="K61" s="58">
        <v>50</v>
      </c>
      <c r="L61" s="65" t="e">
        <f t="shared" si="19"/>
        <v>#REF!</v>
      </c>
      <c r="M61" s="6"/>
      <c r="N61" s="6"/>
      <c r="O61" s="6"/>
      <c r="P61" s="58">
        <v>50</v>
      </c>
      <c r="Q61" s="59" t="e">
        <f>IF(#REF!="Plateau",U9,0)+IF(#REF!="Préalpes",U24,0)+IF(#REF!="Transition",U39,0)</f>
        <v>#REF!</v>
      </c>
      <c r="T61" s="2"/>
    </row>
    <row r="62" spans="5:21" x14ac:dyDescent="0.2">
      <c r="E62" s="15"/>
      <c r="F62" s="55"/>
      <c r="G62" s="58">
        <v>60</v>
      </c>
      <c r="H62" s="6" t="e">
        <f>IF(#REF!="Plateau",L10,0)+IF(#REF!="Préalpes",L25,0)+IF(#REF!="Transition",L40,0)</f>
        <v>#REF!</v>
      </c>
      <c r="I62" s="6"/>
      <c r="J62" s="6"/>
      <c r="K62" s="58">
        <v>60</v>
      </c>
      <c r="L62" s="65" t="e">
        <f t="shared" si="19"/>
        <v>#REF!</v>
      </c>
      <c r="M62" s="6"/>
      <c r="N62" s="6"/>
      <c r="O62" s="6"/>
      <c r="P62" s="58">
        <v>60</v>
      </c>
      <c r="Q62" s="59" t="e">
        <f>IF(#REF!="Plateau",U10,0)+IF(#REF!="Préalpes",U25,0)+IF(#REF!="Transition",U40,0)</f>
        <v>#REF!</v>
      </c>
      <c r="T62" s="2"/>
    </row>
    <row r="63" spans="5:21" x14ac:dyDescent="0.2">
      <c r="F63" s="55"/>
      <c r="G63" s="58">
        <v>70</v>
      </c>
      <c r="H63" s="6" t="e">
        <f>IF(#REF!="Plateau",L11,0)+IF(#REF!="Préalpes",L26,0)+IF(#REF!="Transition",L41,0)</f>
        <v>#REF!</v>
      </c>
      <c r="I63" s="6"/>
      <c r="J63" s="6"/>
      <c r="K63" s="58">
        <v>70</v>
      </c>
      <c r="L63" s="65" t="e">
        <f t="shared" si="19"/>
        <v>#REF!</v>
      </c>
      <c r="M63" s="6"/>
      <c r="N63" s="6"/>
      <c r="O63" s="6"/>
      <c r="P63" s="58">
        <v>70</v>
      </c>
      <c r="Q63" s="59" t="e">
        <f>IF(#REF!="Plateau",U11,0)+IF(#REF!="Préalpes",U26,0)+IF(#REF!="Transition",U41,0)</f>
        <v>#REF!</v>
      </c>
      <c r="T63" s="2"/>
    </row>
    <row r="64" spans="5:21" x14ac:dyDescent="0.2">
      <c r="F64" s="55"/>
      <c r="G64" s="58">
        <v>80</v>
      </c>
      <c r="H64" s="6" t="e">
        <f>IF(#REF!="Plateau",L12,0)+IF(#REF!="Préalpes",L27,0)+IF(#REF!="Transition",L42,0)</f>
        <v>#REF!</v>
      </c>
      <c r="I64" s="6"/>
      <c r="J64" s="6"/>
      <c r="K64" s="58">
        <v>80</v>
      </c>
      <c r="L64" s="65" t="e">
        <f t="shared" si="19"/>
        <v>#REF!</v>
      </c>
      <c r="M64" s="6"/>
      <c r="N64" s="6"/>
      <c r="O64" s="6"/>
      <c r="P64" s="58">
        <v>80</v>
      </c>
      <c r="Q64" s="59" t="e">
        <f>IF(#REF!="Plateau",U12,0)+IF(#REF!="Préalpes",U27,0)+IF(#REF!="Transition",U42,0)</f>
        <v>#REF!</v>
      </c>
      <c r="T64" s="2"/>
    </row>
    <row r="65" spans="2:20" x14ac:dyDescent="0.2">
      <c r="F65" s="55"/>
      <c r="G65" s="58">
        <v>90</v>
      </c>
      <c r="H65" s="6" t="e">
        <f>IF(#REF!="Plateau",L13,0)+IF(#REF!="Préalpes",L28,0)+IF(#REF!="Transition",L43,0)</f>
        <v>#REF!</v>
      </c>
      <c r="I65" s="6"/>
      <c r="J65" s="6"/>
      <c r="K65" s="58">
        <v>90</v>
      </c>
      <c r="L65" s="65" t="e">
        <f t="shared" si="19"/>
        <v>#REF!</v>
      </c>
      <c r="M65" s="6"/>
      <c r="N65" s="6"/>
      <c r="O65" s="6"/>
      <c r="P65" s="58">
        <v>90</v>
      </c>
      <c r="Q65" s="59" t="e">
        <f>IF(#REF!="Plateau",U13,0)+IF(#REF!="Préalpes",U28,0)+IF(#REF!="Transition",U43,0)</f>
        <v>#REF!</v>
      </c>
      <c r="T65" s="2"/>
    </row>
    <row r="66" spans="2:20" x14ac:dyDescent="0.2">
      <c r="B66" s="11"/>
      <c r="C66" s="2"/>
      <c r="F66" s="55"/>
      <c r="G66" s="58">
        <v>100</v>
      </c>
      <c r="H66" s="6" t="e">
        <f>IF(#REF!="Plateau",L14,0)+IF(#REF!="Préalpes",L29,0)+IF(#REF!="Transition",L44,0)</f>
        <v>#REF!</v>
      </c>
      <c r="I66" s="6"/>
      <c r="J66" s="6"/>
      <c r="K66" s="58">
        <v>100</v>
      </c>
      <c r="L66" s="65" t="e">
        <f t="shared" si="19"/>
        <v>#REF!</v>
      </c>
      <c r="M66" s="6"/>
      <c r="N66" s="6"/>
      <c r="O66" s="6"/>
      <c r="P66" s="58">
        <v>100</v>
      </c>
      <c r="Q66" s="59" t="e">
        <f>IF(#REF!="Plateau",U14,0)+IF(#REF!="Préalpes",U29,0)+IF(#REF!="Transition",U44,0)</f>
        <v>#REF!</v>
      </c>
      <c r="T66" s="2"/>
    </row>
    <row r="67" spans="2:20" x14ac:dyDescent="0.2">
      <c r="C67" s="2"/>
      <c r="F67" s="55"/>
      <c r="G67" s="58">
        <v>110</v>
      </c>
      <c r="H67" s="6" t="e">
        <f>IF(#REF!="Plateau",L15,0)+IF(#REF!="Préalpes",L30,0)+IF(#REF!="Transition",L45,0)</f>
        <v>#REF!</v>
      </c>
      <c r="I67" s="6"/>
      <c r="J67" s="6"/>
      <c r="K67" s="58">
        <v>110</v>
      </c>
      <c r="L67" s="65" t="e">
        <f t="shared" si="19"/>
        <v>#REF!</v>
      </c>
      <c r="M67" s="6"/>
      <c r="N67" s="6"/>
      <c r="O67" s="6"/>
      <c r="P67" s="58">
        <v>110</v>
      </c>
      <c r="Q67" s="59" t="e">
        <f>IF(#REF!="Plateau",U15,0)+IF(#REF!="Préalpes",U30,0)+IF(#REF!="Transition",U45,0)</f>
        <v>#REF!</v>
      </c>
      <c r="T67" s="2"/>
    </row>
    <row r="68" spans="2:20" x14ac:dyDescent="0.2">
      <c r="C68" s="2"/>
      <c r="F68" s="60"/>
      <c r="G68" s="61">
        <v>120</v>
      </c>
      <c r="H68" s="62" t="e">
        <f>IF(#REF!="Plateau",L16,0)+IF(#REF!="Préalpes",L31,0)+IF(#REF!="Transition",L46,0)</f>
        <v>#REF!</v>
      </c>
      <c r="I68" s="63"/>
      <c r="J68" s="63"/>
      <c r="K68" s="61">
        <v>120</v>
      </c>
      <c r="L68" s="66" t="e">
        <f t="shared" si="19"/>
        <v>#REF!</v>
      </c>
      <c r="M68" s="62"/>
      <c r="N68" s="62"/>
      <c r="O68" s="63"/>
      <c r="P68" s="61">
        <v>120</v>
      </c>
      <c r="Q68" s="64" t="e">
        <f>IF(#REF!="Plateau",U16,0)+IF(#REF!="Préalpes",U31,0)+IF(#REF!="Transition",U46,0)</f>
        <v>#REF!</v>
      </c>
      <c r="T68" s="2"/>
    </row>
    <row r="69" spans="2:20" x14ac:dyDescent="0.2">
      <c r="C69" s="2"/>
    </row>
    <row r="70" spans="2:20" x14ac:dyDescent="0.2">
      <c r="C70" s="2"/>
      <c r="G70" s="4"/>
      <c r="H70" s="4"/>
      <c r="K70" s="7"/>
    </row>
    <row r="71" spans="2:20" x14ac:dyDescent="0.2">
      <c r="C71" s="2"/>
      <c r="I71" s="9"/>
      <c r="J71" s="9"/>
      <c r="K71" s="1"/>
      <c r="L71" s="8"/>
      <c r="M71" s="8"/>
      <c r="N71" s="8"/>
    </row>
    <row r="72" spans="2:20" x14ac:dyDescent="0.2">
      <c r="C72" s="2"/>
      <c r="K72" s="1"/>
      <c r="L72" s="2"/>
      <c r="M72" s="2"/>
      <c r="N72" s="2"/>
    </row>
    <row r="73" spans="2:20" x14ac:dyDescent="0.2">
      <c r="C73" s="2"/>
      <c r="K73" s="1"/>
      <c r="L73" s="2"/>
      <c r="M73" s="2"/>
      <c r="N73" s="2"/>
    </row>
    <row r="74" spans="2:20" x14ac:dyDescent="0.2">
      <c r="C74" s="2"/>
      <c r="K74" s="1"/>
      <c r="L74" s="2"/>
      <c r="M74" s="2"/>
      <c r="N74" s="2"/>
    </row>
    <row r="75" spans="2:20" x14ac:dyDescent="0.2">
      <c r="C75" s="2"/>
      <c r="L75" s="2"/>
      <c r="M75" s="2"/>
      <c r="N75" s="2"/>
    </row>
    <row r="76" spans="2:20" x14ac:dyDescent="0.2">
      <c r="C76" s="2"/>
      <c r="G76" s="10"/>
      <c r="H76" s="10"/>
    </row>
    <row r="77" spans="2:20" x14ac:dyDescent="0.2">
      <c r="C77" s="2"/>
    </row>
    <row r="78" spans="2:20" x14ac:dyDescent="0.2">
      <c r="C78" s="2"/>
    </row>
  </sheetData>
  <sheetProtection password="C71F" sheet="1"/>
  <mergeCells count="12">
    <mergeCell ref="F2:I2"/>
    <mergeCell ref="F17:I17"/>
    <mergeCell ref="O2:R2"/>
    <mergeCell ref="O17:R17"/>
    <mergeCell ref="F33:G33"/>
    <mergeCell ref="O33:P33"/>
    <mergeCell ref="F32:I32"/>
    <mergeCell ref="O32:R32"/>
    <mergeCell ref="F3:G3"/>
    <mergeCell ref="O3:P3"/>
    <mergeCell ref="F18:G18"/>
    <mergeCell ref="O18:P18"/>
  </mergeCells>
  <phoneticPr fontId="1" type="noConversion"/>
  <conditionalFormatting sqref="F34:F45 F19:F30 F4:F15 O4:O15 O19:O30 O34:O45">
    <cfRule type="cellIs" dxfId="3" priority="6" stopIfTrue="1" operator="between">
      <formula>$C$11-5</formula>
      <formula>$C$11</formula>
    </cfRule>
  </conditionalFormatting>
  <conditionalFormatting sqref="G4:H15 G19:H30 G34:H45 P4:Q15 P19:Q30 P34:Q45">
    <cfRule type="cellIs" dxfId="2" priority="3" stopIfTrue="1" operator="between">
      <formula>$C$11</formula>
      <formula>$C$11+9</formula>
    </cfRule>
  </conditionalFormatting>
  <pageMargins left="0.59055118110236227" right="0.59055118110236227" top="0.98425196850393704" bottom="0.98425196850393704" header="0.51181102362204722" footer="0.51181102362204722"/>
  <pageSetup paperSize="9"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W78"/>
  <sheetViews>
    <sheetView topLeftCell="A10" zoomScale="55" zoomScaleNormal="55" workbookViewId="0">
      <selection activeCell="H54" sqref="H54"/>
    </sheetView>
  </sheetViews>
  <sheetFormatPr baseColWidth="10" defaultRowHeight="12.75" x14ac:dyDescent="0.2"/>
  <cols>
    <col min="1" max="1" width="4.28515625" customWidth="1"/>
    <col min="2" max="2" width="22.7109375" customWidth="1"/>
    <col min="3" max="3" width="11.85546875" customWidth="1"/>
    <col min="5" max="5" width="5.28515625" customWidth="1"/>
    <col min="6" max="6" width="7.85546875" customWidth="1"/>
    <col min="7" max="23" width="10" customWidth="1"/>
    <col min="257" max="257" width="4.28515625" customWidth="1"/>
    <col min="258" max="258" width="22.7109375" customWidth="1"/>
    <col min="259" max="259" width="11.85546875" customWidth="1"/>
    <col min="261" max="261" width="5.28515625" customWidth="1"/>
    <col min="262" max="262" width="7.85546875" customWidth="1"/>
    <col min="263" max="279" width="10" customWidth="1"/>
    <col min="513" max="513" width="4.28515625" customWidth="1"/>
    <col min="514" max="514" width="22.7109375" customWidth="1"/>
    <col min="515" max="515" width="11.85546875" customWidth="1"/>
    <col min="517" max="517" width="5.28515625" customWidth="1"/>
    <col min="518" max="518" width="7.85546875" customWidth="1"/>
    <col min="519" max="535" width="10" customWidth="1"/>
    <col min="769" max="769" width="4.28515625" customWidth="1"/>
    <col min="770" max="770" width="22.7109375" customWidth="1"/>
    <col min="771" max="771" width="11.85546875" customWidth="1"/>
    <col min="773" max="773" width="5.28515625" customWidth="1"/>
    <col min="774" max="774" width="7.85546875" customWidth="1"/>
    <col min="775" max="791" width="10" customWidth="1"/>
    <col min="1025" max="1025" width="4.28515625" customWidth="1"/>
    <col min="1026" max="1026" width="22.7109375" customWidth="1"/>
    <col min="1027" max="1027" width="11.85546875" customWidth="1"/>
    <col min="1029" max="1029" width="5.28515625" customWidth="1"/>
    <col min="1030" max="1030" width="7.85546875" customWidth="1"/>
    <col min="1031" max="1047" width="10" customWidth="1"/>
    <col min="1281" max="1281" width="4.28515625" customWidth="1"/>
    <col min="1282" max="1282" width="22.7109375" customWidth="1"/>
    <col min="1283" max="1283" width="11.85546875" customWidth="1"/>
    <col min="1285" max="1285" width="5.28515625" customWidth="1"/>
    <col min="1286" max="1286" width="7.85546875" customWidth="1"/>
    <col min="1287" max="1303" width="10" customWidth="1"/>
    <col min="1537" max="1537" width="4.28515625" customWidth="1"/>
    <col min="1538" max="1538" width="22.7109375" customWidth="1"/>
    <col min="1539" max="1539" width="11.85546875" customWidth="1"/>
    <col min="1541" max="1541" width="5.28515625" customWidth="1"/>
    <col min="1542" max="1542" width="7.85546875" customWidth="1"/>
    <col min="1543" max="1559" width="10" customWidth="1"/>
    <col min="1793" max="1793" width="4.28515625" customWidth="1"/>
    <col min="1794" max="1794" width="22.7109375" customWidth="1"/>
    <col min="1795" max="1795" width="11.85546875" customWidth="1"/>
    <col min="1797" max="1797" width="5.28515625" customWidth="1"/>
    <col min="1798" max="1798" width="7.85546875" customWidth="1"/>
    <col min="1799" max="1815" width="10" customWidth="1"/>
    <col min="2049" max="2049" width="4.28515625" customWidth="1"/>
    <col min="2050" max="2050" width="22.7109375" customWidth="1"/>
    <col min="2051" max="2051" width="11.85546875" customWidth="1"/>
    <col min="2053" max="2053" width="5.28515625" customWidth="1"/>
    <col min="2054" max="2054" width="7.85546875" customWidth="1"/>
    <col min="2055" max="2071" width="10" customWidth="1"/>
    <col min="2305" max="2305" width="4.28515625" customWidth="1"/>
    <col min="2306" max="2306" width="22.7109375" customWidth="1"/>
    <col min="2307" max="2307" width="11.85546875" customWidth="1"/>
    <col min="2309" max="2309" width="5.28515625" customWidth="1"/>
    <col min="2310" max="2310" width="7.85546875" customWidth="1"/>
    <col min="2311" max="2327" width="10" customWidth="1"/>
    <col min="2561" max="2561" width="4.28515625" customWidth="1"/>
    <col min="2562" max="2562" width="22.7109375" customWidth="1"/>
    <col min="2563" max="2563" width="11.85546875" customWidth="1"/>
    <col min="2565" max="2565" width="5.28515625" customWidth="1"/>
    <col min="2566" max="2566" width="7.85546875" customWidth="1"/>
    <col min="2567" max="2583" width="10" customWidth="1"/>
    <col min="2817" max="2817" width="4.28515625" customWidth="1"/>
    <col min="2818" max="2818" width="22.7109375" customWidth="1"/>
    <col min="2819" max="2819" width="11.85546875" customWidth="1"/>
    <col min="2821" max="2821" width="5.28515625" customWidth="1"/>
    <col min="2822" max="2822" width="7.85546875" customWidth="1"/>
    <col min="2823" max="2839" width="10" customWidth="1"/>
    <col min="3073" max="3073" width="4.28515625" customWidth="1"/>
    <col min="3074" max="3074" width="22.7109375" customWidth="1"/>
    <col min="3075" max="3075" width="11.85546875" customWidth="1"/>
    <col min="3077" max="3077" width="5.28515625" customWidth="1"/>
    <col min="3078" max="3078" width="7.85546875" customWidth="1"/>
    <col min="3079" max="3095" width="10" customWidth="1"/>
    <col min="3329" max="3329" width="4.28515625" customWidth="1"/>
    <col min="3330" max="3330" width="22.7109375" customWidth="1"/>
    <col min="3331" max="3331" width="11.85546875" customWidth="1"/>
    <col min="3333" max="3333" width="5.28515625" customWidth="1"/>
    <col min="3334" max="3334" width="7.85546875" customWidth="1"/>
    <col min="3335" max="3351" width="10" customWidth="1"/>
    <col min="3585" max="3585" width="4.28515625" customWidth="1"/>
    <col min="3586" max="3586" width="22.7109375" customWidth="1"/>
    <col min="3587" max="3587" width="11.85546875" customWidth="1"/>
    <col min="3589" max="3589" width="5.28515625" customWidth="1"/>
    <col min="3590" max="3590" width="7.85546875" customWidth="1"/>
    <col min="3591" max="3607" width="10" customWidth="1"/>
    <col min="3841" max="3841" width="4.28515625" customWidth="1"/>
    <col min="3842" max="3842" width="22.7109375" customWidth="1"/>
    <col min="3843" max="3843" width="11.85546875" customWidth="1"/>
    <col min="3845" max="3845" width="5.28515625" customWidth="1"/>
    <col min="3846" max="3846" width="7.85546875" customWidth="1"/>
    <col min="3847" max="3863" width="10" customWidth="1"/>
    <col min="4097" max="4097" width="4.28515625" customWidth="1"/>
    <col min="4098" max="4098" width="22.7109375" customWidth="1"/>
    <col min="4099" max="4099" width="11.85546875" customWidth="1"/>
    <col min="4101" max="4101" width="5.28515625" customWidth="1"/>
    <col min="4102" max="4102" width="7.85546875" customWidth="1"/>
    <col min="4103" max="4119" width="10" customWidth="1"/>
    <col min="4353" max="4353" width="4.28515625" customWidth="1"/>
    <col min="4354" max="4354" width="22.7109375" customWidth="1"/>
    <col min="4355" max="4355" width="11.85546875" customWidth="1"/>
    <col min="4357" max="4357" width="5.28515625" customWidth="1"/>
    <col min="4358" max="4358" width="7.85546875" customWidth="1"/>
    <col min="4359" max="4375" width="10" customWidth="1"/>
    <col min="4609" max="4609" width="4.28515625" customWidth="1"/>
    <col min="4610" max="4610" width="22.7109375" customWidth="1"/>
    <col min="4611" max="4611" width="11.85546875" customWidth="1"/>
    <col min="4613" max="4613" width="5.28515625" customWidth="1"/>
    <col min="4614" max="4614" width="7.85546875" customWidth="1"/>
    <col min="4615" max="4631" width="10" customWidth="1"/>
    <col min="4865" max="4865" width="4.28515625" customWidth="1"/>
    <col min="4866" max="4866" width="22.7109375" customWidth="1"/>
    <col min="4867" max="4867" width="11.85546875" customWidth="1"/>
    <col min="4869" max="4869" width="5.28515625" customWidth="1"/>
    <col min="4870" max="4870" width="7.85546875" customWidth="1"/>
    <col min="4871" max="4887" width="10" customWidth="1"/>
    <col min="5121" max="5121" width="4.28515625" customWidth="1"/>
    <col min="5122" max="5122" width="22.7109375" customWidth="1"/>
    <col min="5123" max="5123" width="11.85546875" customWidth="1"/>
    <col min="5125" max="5125" width="5.28515625" customWidth="1"/>
    <col min="5126" max="5126" width="7.85546875" customWidth="1"/>
    <col min="5127" max="5143" width="10" customWidth="1"/>
    <col min="5377" max="5377" width="4.28515625" customWidth="1"/>
    <col min="5378" max="5378" width="22.7109375" customWidth="1"/>
    <col min="5379" max="5379" width="11.85546875" customWidth="1"/>
    <col min="5381" max="5381" width="5.28515625" customWidth="1"/>
    <col min="5382" max="5382" width="7.85546875" customWidth="1"/>
    <col min="5383" max="5399" width="10" customWidth="1"/>
    <col min="5633" max="5633" width="4.28515625" customWidth="1"/>
    <col min="5634" max="5634" width="22.7109375" customWidth="1"/>
    <col min="5635" max="5635" width="11.85546875" customWidth="1"/>
    <col min="5637" max="5637" width="5.28515625" customWidth="1"/>
    <col min="5638" max="5638" width="7.85546875" customWidth="1"/>
    <col min="5639" max="5655" width="10" customWidth="1"/>
    <col min="5889" max="5889" width="4.28515625" customWidth="1"/>
    <col min="5890" max="5890" width="22.7109375" customWidth="1"/>
    <col min="5891" max="5891" width="11.85546875" customWidth="1"/>
    <col min="5893" max="5893" width="5.28515625" customWidth="1"/>
    <col min="5894" max="5894" width="7.85546875" customWidth="1"/>
    <col min="5895" max="5911" width="10" customWidth="1"/>
    <col min="6145" max="6145" width="4.28515625" customWidth="1"/>
    <col min="6146" max="6146" width="22.7109375" customWidth="1"/>
    <col min="6147" max="6147" width="11.85546875" customWidth="1"/>
    <col min="6149" max="6149" width="5.28515625" customWidth="1"/>
    <col min="6150" max="6150" width="7.85546875" customWidth="1"/>
    <col min="6151" max="6167" width="10" customWidth="1"/>
    <col min="6401" max="6401" width="4.28515625" customWidth="1"/>
    <col min="6402" max="6402" width="22.7109375" customWidth="1"/>
    <col min="6403" max="6403" width="11.85546875" customWidth="1"/>
    <col min="6405" max="6405" width="5.28515625" customWidth="1"/>
    <col min="6406" max="6406" width="7.85546875" customWidth="1"/>
    <col min="6407" max="6423" width="10" customWidth="1"/>
    <col min="6657" max="6657" width="4.28515625" customWidth="1"/>
    <col min="6658" max="6658" width="22.7109375" customWidth="1"/>
    <col min="6659" max="6659" width="11.85546875" customWidth="1"/>
    <col min="6661" max="6661" width="5.28515625" customWidth="1"/>
    <col min="6662" max="6662" width="7.85546875" customWidth="1"/>
    <col min="6663" max="6679" width="10" customWidth="1"/>
    <col min="6913" max="6913" width="4.28515625" customWidth="1"/>
    <col min="6914" max="6914" width="22.7109375" customWidth="1"/>
    <col min="6915" max="6915" width="11.85546875" customWidth="1"/>
    <col min="6917" max="6917" width="5.28515625" customWidth="1"/>
    <col min="6918" max="6918" width="7.85546875" customWidth="1"/>
    <col min="6919" max="6935" width="10" customWidth="1"/>
    <col min="7169" max="7169" width="4.28515625" customWidth="1"/>
    <col min="7170" max="7170" width="22.7109375" customWidth="1"/>
    <col min="7171" max="7171" width="11.85546875" customWidth="1"/>
    <col min="7173" max="7173" width="5.28515625" customWidth="1"/>
    <col min="7174" max="7174" width="7.85546875" customWidth="1"/>
    <col min="7175" max="7191" width="10" customWidth="1"/>
    <col min="7425" max="7425" width="4.28515625" customWidth="1"/>
    <col min="7426" max="7426" width="22.7109375" customWidth="1"/>
    <col min="7427" max="7427" width="11.85546875" customWidth="1"/>
    <col min="7429" max="7429" width="5.28515625" customWidth="1"/>
    <col min="7430" max="7430" width="7.85546875" customWidth="1"/>
    <col min="7431" max="7447" width="10" customWidth="1"/>
    <col min="7681" max="7681" width="4.28515625" customWidth="1"/>
    <col min="7682" max="7682" width="22.7109375" customWidth="1"/>
    <col min="7683" max="7683" width="11.85546875" customWidth="1"/>
    <col min="7685" max="7685" width="5.28515625" customWidth="1"/>
    <col min="7686" max="7686" width="7.85546875" customWidth="1"/>
    <col min="7687" max="7703" width="10" customWidth="1"/>
    <col min="7937" max="7937" width="4.28515625" customWidth="1"/>
    <col min="7938" max="7938" width="22.7109375" customWidth="1"/>
    <col min="7939" max="7939" width="11.85546875" customWidth="1"/>
    <col min="7941" max="7941" width="5.28515625" customWidth="1"/>
    <col min="7942" max="7942" width="7.85546875" customWidth="1"/>
    <col min="7943" max="7959" width="10" customWidth="1"/>
    <col min="8193" max="8193" width="4.28515625" customWidth="1"/>
    <col min="8194" max="8194" width="22.7109375" customWidth="1"/>
    <col min="8195" max="8195" width="11.85546875" customWidth="1"/>
    <col min="8197" max="8197" width="5.28515625" customWidth="1"/>
    <col min="8198" max="8198" width="7.85546875" customWidth="1"/>
    <col min="8199" max="8215" width="10" customWidth="1"/>
    <col min="8449" max="8449" width="4.28515625" customWidth="1"/>
    <col min="8450" max="8450" width="22.7109375" customWidth="1"/>
    <col min="8451" max="8451" width="11.85546875" customWidth="1"/>
    <col min="8453" max="8453" width="5.28515625" customWidth="1"/>
    <col min="8454" max="8454" width="7.85546875" customWidth="1"/>
    <col min="8455" max="8471" width="10" customWidth="1"/>
    <col min="8705" max="8705" width="4.28515625" customWidth="1"/>
    <col min="8706" max="8706" width="22.7109375" customWidth="1"/>
    <col min="8707" max="8707" width="11.85546875" customWidth="1"/>
    <col min="8709" max="8709" width="5.28515625" customWidth="1"/>
    <col min="8710" max="8710" width="7.85546875" customWidth="1"/>
    <col min="8711" max="8727" width="10" customWidth="1"/>
    <col min="8961" max="8961" width="4.28515625" customWidth="1"/>
    <col min="8962" max="8962" width="22.7109375" customWidth="1"/>
    <col min="8963" max="8963" width="11.85546875" customWidth="1"/>
    <col min="8965" max="8965" width="5.28515625" customWidth="1"/>
    <col min="8966" max="8966" width="7.85546875" customWidth="1"/>
    <col min="8967" max="8983" width="10" customWidth="1"/>
    <col min="9217" max="9217" width="4.28515625" customWidth="1"/>
    <col min="9218" max="9218" width="22.7109375" customWidth="1"/>
    <col min="9219" max="9219" width="11.85546875" customWidth="1"/>
    <col min="9221" max="9221" width="5.28515625" customWidth="1"/>
    <col min="9222" max="9222" width="7.85546875" customWidth="1"/>
    <col min="9223" max="9239" width="10" customWidth="1"/>
    <col min="9473" max="9473" width="4.28515625" customWidth="1"/>
    <col min="9474" max="9474" width="22.7109375" customWidth="1"/>
    <col min="9475" max="9475" width="11.85546875" customWidth="1"/>
    <col min="9477" max="9477" width="5.28515625" customWidth="1"/>
    <col min="9478" max="9478" width="7.85546875" customWidth="1"/>
    <col min="9479" max="9495" width="10" customWidth="1"/>
    <col min="9729" max="9729" width="4.28515625" customWidth="1"/>
    <col min="9730" max="9730" width="22.7109375" customWidth="1"/>
    <col min="9731" max="9731" width="11.85546875" customWidth="1"/>
    <col min="9733" max="9733" width="5.28515625" customWidth="1"/>
    <col min="9734" max="9734" width="7.85546875" customWidth="1"/>
    <col min="9735" max="9751" width="10" customWidth="1"/>
    <col min="9985" max="9985" width="4.28515625" customWidth="1"/>
    <col min="9986" max="9986" width="22.7109375" customWidth="1"/>
    <col min="9987" max="9987" width="11.85546875" customWidth="1"/>
    <col min="9989" max="9989" width="5.28515625" customWidth="1"/>
    <col min="9990" max="9990" width="7.85546875" customWidth="1"/>
    <col min="9991" max="10007" width="10" customWidth="1"/>
    <col min="10241" max="10241" width="4.28515625" customWidth="1"/>
    <col min="10242" max="10242" width="22.7109375" customWidth="1"/>
    <col min="10243" max="10243" width="11.85546875" customWidth="1"/>
    <col min="10245" max="10245" width="5.28515625" customWidth="1"/>
    <col min="10246" max="10246" width="7.85546875" customWidth="1"/>
    <col min="10247" max="10263" width="10" customWidth="1"/>
    <col min="10497" max="10497" width="4.28515625" customWidth="1"/>
    <col min="10498" max="10498" width="22.7109375" customWidth="1"/>
    <col min="10499" max="10499" width="11.85546875" customWidth="1"/>
    <col min="10501" max="10501" width="5.28515625" customWidth="1"/>
    <col min="10502" max="10502" width="7.85546875" customWidth="1"/>
    <col min="10503" max="10519" width="10" customWidth="1"/>
    <col min="10753" max="10753" width="4.28515625" customWidth="1"/>
    <col min="10754" max="10754" width="22.7109375" customWidth="1"/>
    <col min="10755" max="10755" width="11.85546875" customWidth="1"/>
    <col min="10757" max="10757" width="5.28515625" customWidth="1"/>
    <col min="10758" max="10758" width="7.85546875" customWidth="1"/>
    <col min="10759" max="10775" width="10" customWidth="1"/>
    <col min="11009" max="11009" width="4.28515625" customWidth="1"/>
    <col min="11010" max="11010" width="22.7109375" customWidth="1"/>
    <col min="11011" max="11011" width="11.85546875" customWidth="1"/>
    <col min="11013" max="11013" width="5.28515625" customWidth="1"/>
    <col min="11014" max="11014" width="7.85546875" customWidth="1"/>
    <col min="11015" max="11031" width="10" customWidth="1"/>
    <col min="11265" max="11265" width="4.28515625" customWidth="1"/>
    <col min="11266" max="11266" width="22.7109375" customWidth="1"/>
    <col min="11267" max="11267" width="11.85546875" customWidth="1"/>
    <col min="11269" max="11269" width="5.28515625" customWidth="1"/>
    <col min="11270" max="11270" width="7.85546875" customWidth="1"/>
    <col min="11271" max="11287" width="10" customWidth="1"/>
    <col min="11521" max="11521" width="4.28515625" customWidth="1"/>
    <col min="11522" max="11522" width="22.7109375" customWidth="1"/>
    <col min="11523" max="11523" width="11.85546875" customWidth="1"/>
    <col min="11525" max="11525" width="5.28515625" customWidth="1"/>
    <col min="11526" max="11526" width="7.85546875" customWidth="1"/>
    <col min="11527" max="11543" width="10" customWidth="1"/>
    <col min="11777" max="11777" width="4.28515625" customWidth="1"/>
    <col min="11778" max="11778" width="22.7109375" customWidth="1"/>
    <col min="11779" max="11779" width="11.85546875" customWidth="1"/>
    <col min="11781" max="11781" width="5.28515625" customWidth="1"/>
    <col min="11782" max="11782" width="7.85546875" customWidth="1"/>
    <col min="11783" max="11799" width="10" customWidth="1"/>
    <col min="12033" max="12033" width="4.28515625" customWidth="1"/>
    <col min="12034" max="12034" width="22.7109375" customWidth="1"/>
    <col min="12035" max="12035" width="11.85546875" customWidth="1"/>
    <col min="12037" max="12037" width="5.28515625" customWidth="1"/>
    <col min="12038" max="12038" width="7.85546875" customWidth="1"/>
    <col min="12039" max="12055" width="10" customWidth="1"/>
    <col min="12289" max="12289" width="4.28515625" customWidth="1"/>
    <col min="12290" max="12290" width="22.7109375" customWidth="1"/>
    <col min="12291" max="12291" width="11.85546875" customWidth="1"/>
    <col min="12293" max="12293" width="5.28515625" customWidth="1"/>
    <col min="12294" max="12294" width="7.85546875" customWidth="1"/>
    <col min="12295" max="12311" width="10" customWidth="1"/>
    <col min="12545" max="12545" width="4.28515625" customWidth="1"/>
    <col min="12546" max="12546" width="22.7109375" customWidth="1"/>
    <col min="12547" max="12547" width="11.85546875" customWidth="1"/>
    <col min="12549" max="12549" width="5.28515625" customWidth="1"/>
    <col min="12550" max="12550" width="7.85546875" customWidth="1"/>
    <col min="12551" max="12567" width="10" customWidth="1"/>
    <col min="12801" max="12801" width="4.28515625" customWidth="1"/>
    <col min="12802" max="12802" width="22.7109375" customWidth="1"/>
    <col min="12803" max="12803" width="11.85546875" customWidth="1"/>
    <col min="12805" max="12805" width="5.28515625" customWidth="1"/>
    <col min="12806" max="12806" width="7.85546875" customWidth="1"/>
    <col min="12807" max="12823" width="10" customWidth="1"/>
    <col min="13057" max="13057" width="4.28515625" customWidth="1"/>
    <col min="13058" max="13058" width="22.7109375" customWidth="1"/>
    <col min="13059" max="13059" width="11.85546875" customWidth="1"/>
    <col min="13061" max="13061" width="5.28515625" customWidth="1"/>
    <col min="13062" max="13062" width="7.85546875" customWidth="1"/>
    <col min="13063" max="13079" width="10" customWidth="1"/>
    <col min="13313" max="13313" width="4.28515625" customWidth="1"/>
    <col min="13314" max="13314" width="22.7109375" customWidth="1"/>
    <col min="13315" max="13315" width="11.85546875" customWidth="1"/>
    <col min="13317" max="13317" width="5.28515625" customWidth="1"/>
    <col min="13318" max="13318" width="7.85546875" customWidth="1"/>
    <col min="13319" max="13335" width="10" customWidth="1"/>
    <col min="13569" max="13569" width="4.28515625" customWidth="1"/>
    <col min="13570" max="13570" width="22.7109375" customWidth="1"/>
    <col min="13571" max="13571" width="11.85546875" customWidth="1"/>
    <col min="13573" max="13573" width="5.28515625" customWidth="1"/>
    <col min="13574" max="13574" width="7.85546875" customWidth="1"/>
    <col min="13575" max="13591" width="10" customWidth="1"/>
    <col min="13825" max="13825" width="4.28515625" customWidth="1"/>
    <col min="13826" max="13826" width="22.7109375" customWidth="1"/>
    <col min="13827" max="13827" width="11.85546875" customWidth="1"/>
    <col min="13829" max="13829" width="5.28515625" customWidth="1"/>
    <col min="13830" max="13830" width="7.85546875" customWidth="1"/>
    <col min="13831" max="13847" width="10" customWidth="1"/>
    <col min="14081" max="14081" width="4.28515625" customWidth="1"/>
    <col min="14082" max="14082" width="22.7109375" customWidth="1"/>
    <col min="14083" max="14083" width="11.85546875" customWidth="1"/>
    <col min="14085" max="14085" width="5.28515625" customWidth="1"/>
    <col min="14086" max="14086" width="7.85546875" customWidth="1"/>
    <col min="14087" max="14103" width="10" customWidth="1"/>
    <col min="14337" max="14337" width="4.28515625" customWidth="1"/>
    <col min="14338" max="14338" width="22.7109375" customWidth="1"/>
    <col min="14339" max="14339" width="11.85546875" customWidth="1"/>
    <col min="14341" max="14341" width="5.28515625" customWidth="1"/>
    <col min="14342" max="14342" width="7.85546875" customWidth="1"/>
    <col min="14343" max="14359" width="10" customWidth="1"/>
    <col min="14593" max="14593" width="4.28515625" customWidth="1"/>
    <col min="14594" max="14594" width="22.7109375" customWidth="1"/>
    <col min="14595" max="14595" width="11.85546875" customWidth="1"/>
    <col min="14597" max="14597" width="5.28515625" customWidth="1"/>
    <col min="14598" max="14598" width="7.85546875" customWidth="1"/>
    <col min="14599" max="14615" width="10" customWidth="1"/>
    <col min="14849" max="14849" width="4.28515625" customWidth="1"/>
    <col min="14850" max="14850" width="22.7109375" customWidth="1"/>
    <col min="14851" max="14851" width="11.85546875" customWidth="1"/>
    <col min="14853" max="14853" width="5.28515625" customWidth="1"/>
    <col min="14854" max="14854" width="7.85546875" customWidth="1"/>
    <col min="14855" max="14871" width="10" customWidth="1"/>
    <col min="15105" max="15105" width="4.28515625" customWidth="1"/>
    <col min="15106" max="15106" width="22.7109375" customWidth="1"/>
    <col min="15107" max="15107" width="11.85546875" customWidth="1"/>
    <col min="15109" max="15109" width="5.28515625" customWidth="1"/>
    <col min="15110" max="15110" width="7.85546875" customWidth="1"/>
    <col min="15111" max="15127" width="10" customWidth="1"/>
    <col min="15361" max="15361" width="4.28515625" customWidth="1"/>
    <col min="15362" max="15362" width="22.7109375" customWidth="1"/>
    <col min="15363" max="15363" width="11.85546875" customWidth="1"/>
    <col min="15365" max="15365" width="5.28515625" customWidth="1"/>
    <col min="15366" max="15366" width="7.85546875" customWidth="1"/>
    <col min="15367" max="15383" width="10" customWidth="1"/>
    <col min="15617" max="15617" width="4.28515625" customWidth="1"/>
    <col min="15618" max="15618" width="22.7109375" customWidth="1"/>
    <col min="15619" max="15619" width="11.85546875" customWidth="1"/>
    <col min="15621" max="15621" width="5.28515625" customWidth="1"/>
    <col min="15622" max="15622" width="7.85546875" customWidth="1"/>
    <col min="15623" max="15639" width="10" customWidth="1"/>
    <col min="15873" max="15873" width="4.28515625" customWidth="1"/>
    <col min="15874" max="15874" width="22.7109375" customWidth="1"/>
    <col min="15875" max="15875" width="11.85546875" customWidth="1"/>
    <col min="15877" max="15877" width="5.28515625" customWidth="1"/>
    <col min="15878" max="15878" width="7.85546875" customWidth="1"/>
    <col min="15879" max="15895" width="10" customWidth="1"/>
    <col min="16129" max="16129" width="4.28515625" customWidth="1"/>
    <col min="16130" max="16130" width="22.7109375" customWidth="1"/>
    <col min="16131" max="16131" width="11.85546875" customWidth="1"/>
    <col min="16133" max="16133" width="5.28515625" customWidth="1"/>
    <col min="16134" max="16134" width="7.85546875" customWidth="1"/>
    <col min="16135" max="16151" width="10" customWidth="1"/>
  </cols>
  <sheetData>
    <row r="2" spans="2:23" x14ac:dyDescent="0.2">
      <c r="B2" s="16" t="s">
        <v>35</v>
      </c>
      <c r="C2" s="16" t="s">
        <v>30</v>
      </c>
      <c r="D2" t="s">
        <v>13</v>
      </c>
      <c r="F2" s="277" t="s">
        <v>15</v>
      </c>
      <c r="G2" s="278"/>
      <c r="H2" s="278"/>
      <c r="I2" s="276"/>
      <c r="J2" s="20"/>
      <c r="K2" s="20"/>
      <c r="L2" s="20"/>
      <c r="M2" s="20"/>
      <c r="N2" s="20"/>
      <c r="O2" s="277" t="s">
        <v>21</v>
      </c>
      <c r="P2" s="278"/>
      <c r="Q2" s="278"/>
      <c r="R2" s="276"/>
      <c r="S2" s="20"/>
      <c r="T2" s="20"/>
      <c r="U2" s="20"/>
    </row>
    <row r="3" spans="2:23" x14ac:dyDescent="0.2">
      <c r="B3" s="16" t="s">
        <v>36</v>
      </c>
      <c r="C3" s="16" t="s">
        <v>30</v>
      </c>
      <c r="D3" t="s">
        <v>28</v>
      </c>
      <c r="F3" s="277" t="s">
        <v>16</v>
      </c>
      <c r="G3" s="276"/>
      <c r="H3" s="247"/>
      <c r="I3" s="247" t="s">
        <v>17</v>
      </c>
      <c r="J3" s="17"/>
      <c r="K3" s="17" t="s">
        <v>19</v>
      </c>
      <c r="L3" s="17" t="s">
        <v>20</v>
      </c>
      <c r="M3" s="17"/>
      <c r="N3" s="17"/>
      <c r="O3" s="277" t="s">
        <v>16</v>
      </c>
      <c r="P3" s="276"/>
      <c r="Q3" s="247"/>
      <c r="R3" s="247" t="s">
        <v>17</v>
      </c>
      <c r="S3" s="17"/>
      <c r="T3" s="17" t="s">
        <v>19</v>
      </c>
      <c r="U3" s="17" t="s">
        <v>20</v>
      </c>
    </row>
    <row r="4" spans="2:23" ht="15.75" x14ac:dyDescent="0.3">
      <c r="B4" s="40" t="s">
        <v>33</v>
      </c>
      <c r="C4" s="16" t="s">
        <v>30</v>
      </c>
      <c r="D4" s="16" t="s">
        <v>140</v>
      </c>
      <c r="F4" s="248">
        <v>5</v>
      </c>
      <c r="G4" s="28">
        <v>10</v>
      </c>
      <c r="H4" s="22">
        <f>IF(AND($C$11&gt;=F4,$C$11&lt;G4,1),I4,0)</f>
        <v>0</v>
      </c>
      <c r="I4" s="22">
        <f>L4+(L5-L4)*($C$11-K4)/(K5-K4)</f>
        <v>-2.3030615214993304</v>
      </c>
      <c r="J4" s="19"/>
      <c r="K4" s="2">
        <v>5</v>
      </c>
      <c r="L4" s="2">
        <v>318</v>
      </c>
      <c r="M4" s="2"/>
      <c r="N4" s="2"/>
      <c r="O4" s="21">
        <v>5</v>
      </c>
      <c r="P4" s="29">
        <v>10</v>
      </c>
      <c r="Q4" s="22">
        <f>IF(AND($C$11&gt;=O4,$C$11&lt;P4,1),R4,0)</f>
        <v>0</v>
      </c>
      <c r="R4" s="22">
        <f t="shared" ref="R4:R15" si="0">U4+(U5-U4)*($C$11-T4)/(T5-T4)</f>
        <v>-17.834243880926067</v>
      </c>
      <c r="S4" s="19"/>
      <c r="T4" s="2">
        <v>5</v>
      </c>
      <c r="U4" s="2">
        <v>180</v>
      </c>
    </row>
    <row r="5" spans="2:23" ht="35.25" customHeight="1" x14ac:dyDescent="0.2">
      <c r="B5" s="40" t="s">
        <v>34</v>
      </c>
      <c r="C5" s="40" t="s">
        <v>31</v>
      </c>
      <c r="D5" t="s">
        <v>1</v>
      </c>
      <c r="F5" s="21">
        <v>10</v>
      </c>
      <c r="G5" s="29">
        <v>20</v>
      </c>
      <c r="H5" s="22">
        <f>IF(AND($C$11&gt;=F5,$C$11&lt;G5,1),I5,0)</f>
        <v>0</v>
      </c>
      <c r="I5" s="22">
        <f t="shared" ref="I5:I15" si="1">L5+(L6-L5)*($C$11-K5)/(K6-K5)</f>
        <v>124.00711267916216</v>
      </c>
      <c r="J5" s="19"/>
      <c r="K5" s="2">
        <v>10</v>
      </c>
      <c r="L5" s="2">
        <v>284</v>
      </c>
      <c r="M5" s="2"/>
      <c r="N5" s="2"/>
      <c r="O5" s="21">
        <v>10</v>
      </c>
      <c r="P5" s="29">
        <v>20</v>
      </c>
      <c r="Q5" s="22">
        <f t="shared" ref="Q5:Q14" si="2">IF(AND($C$11&gt;=O5,$C$11&lt;P5,1),R5,0)</f>
        <v>0</v>
      </c>
      <c r="R5" s="22">
        <f t="shared" si="0"/>
        <v>45.320843219404679</v>
      </c>
      <c r="S5" s="19"/>
      <c r="T5" s="2">
        <v>10</v>
      </c>
      <c r="U5" s="2">
        <v>159</v>
      </c>
      <c r="V5" s="2"/>
      <c r="W5" s="2"/>
    </row>
    <row r="6" spans="2:23" x14ac:dyDescent="0.2">
      <c r="F6" s="23">
        <v>20</v>
      </c>
      <c r="G6" s="29">
        <v>30</v>
      </c>
      <c r="H6" s="22">
        <f t="shared" ref="H6:H14" si="3">IF(AND($C$11&gt;=F6,$C$11&lt;G6,1),I6,0)</f>
        <v>0</v>
      </c>
      <c r="I6" s="22">
        <f t="shared" si="1"/>
        <v>152.90016493936059</v>
      </c>
      <c r="J6" s="19"/>
      <c r="K6" s="2">
        <v>20</v>
      </c>
      <c r="L6" s="2">
        <v>246</v>
      </c>
      <c r="M6" s="2">
        <f t="shared" ref="M6:N16" si="4">L6-L5</f>
        <v>-38</v>
      </c>
      <c r="N6" s="2"/>
      <c r="O6" s="23">
        <v>20</v>
      </c>
      <c r="P6" s="29">
        <v>30</v>
      </c>
      <c r="Q6" s="22">
        <f t="shared" si="2"/>
        <v>0</v>
      </c>
      <c r="R6" s="22">
        <f t="shared" si="0"/>
        <v>64.582878059536966</v>
      </c>
      <c r="S6" s="19"/>
      <c r="T6" s="2">
        <v>20</v>
      </c>
      <c r="U6" s="2">
        <v>132</v>
      </c>
      <c r="V6" s="2">
        <f t="shared" ref="V6:W16" si="5">U6-U5</f>
        <v>-27</v>
      </c>
      <c r="W6" s="2"/>
    </row>
    <row r="7" spans="2:23" x14ac:dyDescent="0.2">
      <c r="B7" s="16" t="s">
        <v>4</v>
      </c>
      <c r="C7" t="s">
        <v>23</v>
      </c>
      <c r="F7" s="23">
        <v>30</v>
      </c>
      <c r="G7" s="29">
        <v>40</v>
      </c>
      <c r="H7" s="22">
        <f t="shared" si="3"/>
        <v>0</v>
      </c>
      <c r="I7" s="22">
        <f t="shared" si="1"/>
        <v>168.37253891951491</v>
      </c>
      <c r="J7" s="19"/>
      <c r="K7" s="2">
        <v>30</v>
      </c>
      <c r="L7" s="2">
        <v>217</v>
      </c>
      <c r="M7" s="2">
        <f t="shared" si="4"/>
        <v>-29</v>
      </c>
      <c r="N7" s="2">
        <f t="shared" si="4"/>
        <v>9</v>
      </c>
      <c r="O7" s="23">
        <v>30</v>
      </c>
      <c r="P7" s="29">
        <v>40</v>
      </c>
      <c r="Q7" s="22">
        <f t="shared" si="2"/>
        <v>0</v>
      </c>
      <c r="R7" s="22">
        <f t="shared" si="0"/>
        <v>77.844912899669268</v>
      </c>
      <c r="S7" s="19"/>
      <c r="T7" s="2">
        <v>30</v>
      </c>
      <c r="U7" s="2">
        <v>111</v>
      </c>
      <c r="V7" s="2">
        <f t="shared" si="5"/>
        <v>-21</v>
      </c>
      <c r="W7" s="2">
        <f t="shared" si="5"/>
        <v>6</v>
      </c>
    </row>
    <row r="8" spans="2:23" x14ac:dyDescent="0.2">
      <c r="B8" s="16" t="s">
        <v>10</v>
      </c>
      <c r="C8" t="s">
        <v>24</v>
      </c>
      <c r="F8" s="23">
        <v>40</v>
      </c>
      <c r="G8" s="29">
        <v>50</v>
      </c>
      <c r="H8" s="22">
        <f t="shared" si="3"/>
        <v>0</v>
      </c>
      <c r="I8" s="22">
        <f t="shared" si="1"/>
        <v>172.00355633958108</v>
      </c>
      <c r="J8" s="19"/>
      <c r="K8" s="2">
        <v>40</v>
      </c>
      <c r="L8" s="2">
        <v>195</v>
      </c>
      <c r="M8" s="2">
        <f t="shared" si="4"/>
        <v>-22</v>
      </c>
      <c r="N8" s="2">
        <f>M8-M7</f>
        <v>7</v>
      </c>
      <c r="O8" s="23">
        <v>40</v>
      </c>
      <c r="P8" s="29">
        <v>50</v>
      </c>
      <c r="Q8" s="22">
        <f t="shared" si="2"/>
        <v>0</v>
      </c>
      <c r="R8" s="22">
        <f t="shared" si="0"/>
        <v>79.055252039691311</v>
      </c>
      <c r="S8" s="19"/>
      <c r="T8" s="2">
        <v>40</v>
      </c>
      <c r="U8" s="2">
        <v>96</v>
      </c>
      <c r="V8" s="2">
        <f t="shared" si="5"/>
        <v>-15</v>
      </c>
      <c r="W8" s="2">
        <f t="shared" si="5"/>
        <v>6</v>
      </c>
    </row>
    <row r="9" spans="2:23" x14ac:dyDescent="0.2">
      <c r="B9" s="16" t="s">
        <v>12</v>
      </c>
      <c r="F9" s="21">
        <v>50</v>
      </c>
      <c r="G9" s="29">
        <v>60</v>
      </c>
      <c r="H9" s="22">
        <f t="shared" si="3"/>
        <v>172.42423461962517</v>
      </c>
      <c r="I9" s="22">
        <f t="shared" si="1"/>
        <v>172.42423461962517</v>
      </c>
      <c r="J9" s="19"/>
      <c r="K9" s="2">
        <v>50</v>
      </c>
      <c r="L9" s="2">
        <v>176</v>
      </c>
      <c r="M9" s="2">
        <f t="shared" si="4"/>
        <v>-19</v>
      </c>
      <c r="N9" s="2">
        <f t="shared" si="4"/>
        <v>3</v>
      </c>
      <c r="O9" s="21">
        <v>50</v>
      </c>
      <c r="P9" s="29">
        <v>60</v>
      </c>
      <c r="Q9" s="22">
        <f t="shared" si="2"/>
        <v>79.475930319735411</v>
      </c>
      <c r="R9" s="22">
        <f t="shared" si="0"/>
        <v>79.475930319735411</v>
      </c>
      <c r="S9" s="19"/>
      <c r="T9" s="2">
        <v>50</v>
      </c>
      <c r="U9" s="2">
        <v>82</v>
      </c>
      <c r="V9" s="2">
        <f t="shared" si="5"/>
        <v>-14</v>
      </c>
      <c r="W9" s="2">
        <f t="shared" si="5"/>
        <v>1</v>
      </c>
    </row>
    <row r="10" spans="2:23" x14ac:dyDescent="0.2">
      <c r="F10" s="23">
        <v>60</v>
      </c>
      <c r="G10" s="29">
        <v>70</v>
      </c>
      <c r="H10" s="22">
        <f t="shared" si="3"/>
        <v>0</v>
      </c>
      <c r="I10" s="22">
        <f t="shared" si="1"/>
        <v>170.84491289966928</v>
      </c>
      <c r="J10" s="19"/>
      <c r="K10" s="2">
        <v>60</v>
      </c>
      <c r="L10" s="2">
        <v>159</v>
      </c>
      <c r="M10" s="2">
        <f t="shared" si="4"/>
        <v>-17</v>
      </c>
      <c r="N10" s="2">
        <f t="shared" si="4"/>
        <v>2</v>
      </c>
      <c r="O10" s="23">
        <v>60</v>
      </c>
      <c r="P10" s="29">
        <v>70</v>
      </c>
      <c r="Q10" s="22">
        <f t="shared" si="2"/>
        <v>0</v>
      </c>
      <c r="R10" s="22">
        <f t="shared" si="0"/>
        <v>77.106947739801555</v>
      </c>
      <c r="S10" s="19"/>
      <c r="T10" s="2">
        <v>60</v>
      </c>
      <c r="U10" s="2">
        <v>70</v>
      </c>
      <c r="V10" s="2">
        <f t="shared" si="5"/>
        <v>-12</v>
      </c>
      <c r="W10" s="2">
        <f t="shared" si="5"/>
        <v>2</v>
      </c>
    </row>
    <row r="11" spans="2:23" x14ac:dyDescent="0.2">
      <c r="B11" s="18" t="s">
        <v>18</v>
      </c>
      <c r="C11" s="3">
        <v>52.103391400220488</v>
      </c>
      <c r="F11" s="23">
        <v>70</v>
      </c>
      <c r="G11" s="29">
        <v>80</v>
      </c>
      <c r="H11" s="22">
        <f t="shared" si="3"/>
        <v>0</v>
      </c>
      <c r="I11" s="22">
        <f t="shared" si="1"/>
        <v>167.26559117971337</v>
      </c>
      <c r="J11" s="19"/>
      <c r="K11" s="2">
        <v>70</v>
      </c>
      <c r="L11" s="2">
        <v>144</v>
      </c>
      <c r="M11" s="2">
        <f t="shared" si="4"/>
        <v>-15</v>
      </c>
      <c r="N11" s="2">
        <f t="shared" si="4"/>
        <v>2</v>
      </c>
      <c r="O11" s="23">
        <v>70</v>
      </c>
      <c r="P11" s="29">
        <v>80</v>
      </c>
      <c r="Q11" s="22">
        <f t="shared" si="2"/>
        <v>0</v>
      </c>
      <c r="R11" s="22">
        <f t="shared" si="0"/>
        <v>75.317286879823612</v>
      </c>
      <c r="S11" s="19"/>
      <c r="T11" s="2">
        <v>70</v>
      </c>
      <c r="U11" s="2">
        <v>61</v>
      </c>
      <c r="V11" s="2">
        <f t="shared" si="5"/>
        <v>-9</v>
      </c>
      <c r="W11" s="2">
        <f t="shared" si="5"/>
        <v>3</v>
      </c>
    </row>
    <row r="12" spans="2:23" x14ac:dyDescent="0.2">
      <c r="B12" s="18"/>
      <c r="C12" s="3"/>
      <c r="F12" s="23">
        <v>80</v>
      </c>
      <c r="G12" s="29">
        <v>90</v>
      </c>
      <c r="H12" s="22">
        <f t="shared" si="3"/>
        <v>0</v>
      </c>
      <c r="I12" s="22">
        <f t="shared" si="1"/>
        <v>161.68626945975745</v>
      </c>
      <c r="J12" s="19"/>
      <c r="K12" s="2">
        <v>80</v>
      </c>
      <c r="L12" s="2">
        <v>131</v>
      </c>
      <c r="M12" s="2">
        <f t="shared" si="4"/>
        <v>-13</v>
      </c>
      <c r="N12" s="2">
        <f t="shared" si="4"/>
        <v>2</v>
      </c>
      <c r="O12" s="23">
        <v>80</v>
      </c>
      <c r="P12" s="29">
        <v>90</v>
      </c>
      <c r="Q12" s="22">
        <f t="shared" si="2"/>
        <v>0</v>
      </c>
      <c r="R12" s="22">
        <f t="shared" si="0"/>
        <v>72.527626019845655</v>
      </c>
      <c r="S12" s="19"/>
      <c r="T12" s="2">
        <v>80</v>
      </c>
      <c r="U12" s="2">
        <v>53</v>
      </c>
      <c r="V12" s="2">
        <f t="shared" si="5"/>
        <v>-8</v>
      </c>
      <c r="W12" s="2">
        <f t="shared" si="5"/>
        <v>1</v>
      </c>
    </row>
    <row r="13" spans="2:23" x14ac:dyDescent="0.2">
      <c r="B13" s="18"/>
      <c r="C13" s="249" t="s">
        <v>24</v>
      </c>
      <c r="D13" s="32" t="s">
        <v>23</v>
      </c>
      <c r="F13" s="21">
        <v>90</v>
      </c>
      <c r="G13" s="29">
        <v>100</v>
      </c>
      <c r="H13" s="22">
        <f t="shared" si="3"/>
        <v>0</v>
      </c>
      <c r="I13" s="22">
        <f t="shared" si="1"/>
        <v>157.89660859977951</v>
      </c>
      <c r="J13" s="19"/>
      <c r="K13" s="2">
        <v>90</v>
      </c>
      <c r="L13" s="2">
        <v>120</v>
      </c>
      <c r="M13" s="2">
        <f t="shared" si="4"/>
        <v>-11</v>
      </c>
      <c r="N13" s="2">
        <f t="shared" si="4"/>
        <v>2</v>
      </c>
      <c r="O13" s="21">
        <v>90</v>
      </c>
      <c r="P13" s="29">
        <v>100</v>
      </c>
      <c r="Q13" s="22">
        <f t="shared" si="2"/>
        <v>0</v>
      </c>
      <c r="R13" s="22">
        <f t="shared" si="0"/>
        <v>64.948304299889756</v>
      </c>
      <c r="S13" s="19"/>
      <c r="T13" s="2">
        <v>90</v>
      </c>
      <c r="U13" s="2">
        <v>46</v>
      </c>
      <c r="V13" s="2">
        <f t="shared" si="5"/>
        <v>-7</v>
      </c>
      <c r="W13" s="2">
        <f t="shared" si="5"/>
        <v>1</v>
      </c>
    </row>
    <row r="14" spans="2:23" x14ac:dyDescent="0.2">
      <c r="B14" s="36" t="s">
        <v>4</v>
      </c>
      <c r="C14" s="34">
        <f>SUM(H4:H15)</f>
        <v>172.42423461962517</v>
      </c>
      <c r="D14" s="39">
        <f>SUM(Q4:Q15)</f>
        <v>79.475930319735411</v>
      </c>
      <c r="F14" s="23">
        <v>100</v>
      </c>
      <c r="G14" s="29">
        <v>110</v>
      </c>
      <c r="H14" s="22">
        <f t="shared" si="3"/>
        <v>0</v>
      </c>
      <c r="I14" s="22">
        <f t="shared" si="1"/>
        <v>153.10694773980157</v>
      </c>
      <c r="J14" s="19"/>
      <c r="K14" s="2">
        <v>100</v>
      </c>
      <c r="L14" s="2">
        <v>110</v>
      </c>
      <c r="M14" s="2">
        <f t="shared" si="4"/>
        <v>-10</v>
      </c>
      <c r="N14" s="2">
        <f t="shared" si="4"/>
        <v>1</v>
      </c>
      <c r="O14" s="23">
        <v>100</v>
      </c>
      <c r="P14" s="29">
        <v>110</v>
      </c>
      <c r="Q14" s="22">
        <f t="shared" si="2"/>
        <v>0</v>
      </c>
      <c r="R14" s="22">
        <f t="shared" si="0"/>
        <v>55.368982579933856</v>
      </c>
      <c r="S14" s="19"/>
      <c r="T14" s="2">
        <v>100</v>
      </c>
      <c r="U14" s="2">
        <v>41</v>
      </c>
      <c r="V14" s="2">
        <f t="shared" si="5"/>
        <v>-5</v>
      </c>
      <c r="W14" s="2">
        <f t="shared" si="5"/>
        <v>2</v>
      </c>
    </row>
    <row r="15" spans="2:23" x14ac:dyDescent="0.2">
      <c r="B15" s="37" t="s">
        <v>10</v>
      </c>
      <c r="C15" s="34">
        <f>SUM(H19:H30)</f>
        <v>225.79321719955902</v>
      </c>
      <c r="D15" s="34">
        <f>SUM(Q19:Q30)</f>
        <v>108.47593031973541</v>
      </c>
      <c r="F15" s="24">
        <v>110</v>
      </c>
      <c r="G15" s="30">
        <v>120</v>
      </c>
      <c r="H15" s="22">
        <f>IF(AND($C$11&gt;=F15,$C$11&lt;=G15,1),I15,IF($C$11&lt;F15,0,$L$16))</f>
        <v>0</v>
      </c>
      <c r="I15" s="25">
        <f t="shared" si="1"/>
        <v>147.3172868798236</v>
      </c>
      <c r="J15" s="19"/>
      <c r="K15" s="2">
        <v>110</v>
      </c>
      <c r="L15" s="2">
        <v>101</v>
      </c>
      <c r="M15" s="2">
        <f t="shared" si="4"/>
        <v>-9</v>
      </c>
      <c r="N15" s="2">
        <f t="shared" si="4"/>
        <v>1</v>
      </c>
      <c r="O15" s="24">
        <v>110</v>
      </c>
      <c r="P15" s="30">
        <v>120</v>
      </c>
      <c r="Q15" s="22">
        <f>IF(AND($C$11&gt;=O15,$C$11&lt;=P15,1),R15,IF($C$11&lt;O15,0,$U$16))</f>
        <v>0</v>
      </c>
      <c r="R15" s="25">
        <f t="shared" si="0"/>
        <v>55.368982579933856</v>
      </c>
      <c r="S15" s="19"/>
      <c r="T15" s="2">
        <v>110</v>
      </c>
      <c r="U15" s="2">
        <v>38</v>
      </c>
      <c r="V15" s="2">
        <f t="shared" si="5"/>
        <v>-3</v>
      </c>
      <c r="W15" s="2">
        <f t="shared" si="5"/>
        <v>2</v>
      </c>
    </row>
    <row r="16" spans="2:23" x14ac:dyDescent="0.2">
      <c r="B16" s="38" t="s">
        <v>12</v>
      </c>
      <c r="C16" s="35">
        <f>SUM(H34:H45)</f>
        <v>199.1087259095921</v>
      </c>
      <c r="D16" s="35">
        <f>SUM(Q34:Q45)</f>
        <v>93.975930319735411</v>
      </c>
      <c r="F16" s="5"/>
      <c r="K16" s="2">
        <v>120</v>
      </c>
      <c r="L16" s="2">
        <v>93</v>
      </c>
      <c r="M16" s="2">
        <f t="shared" si="4"/>
        <v>-8</v>
      </c>
      <c r="N16" s="2">
        <f>M16-M15</f>
        <v>1</v>
      </c>
      <c r="O16" s="5"/>
      <c r="T16" s="2">
        <v>120</v>
      </c>
      <c r="U16" s="2">
        <v>35</v>
      </c>
      <c r="V16" s="2">
        <f t="shared" si="5"/>
        <v>-3</v>
      </c>
      <c r="W16" s="2">
        <f>V16-V15</f>
        <v>0</v>
      </c>
    </row>
    <row r="17" spans="2:23" x14ac:dyDescent="0.2">
      <c r="B17" s="18"/>
      <c r="C17" s="3"/>
      <c r="F17" s="277" t="s">
        <v>22</v>
      </c>
      <c r="G17" s="278"/>
      <c r="H17" s="278"/>
      <c r="I17" s="276"/>
      <c r="J17" s="20"/>
      <c r="K17" s="20"/>
      <c r="L17" s="20"/>
      <c r="M17" s="20"/>
      <c r="N17" s="20"/>
      <c r="O17" s="277" t="s">
        <v>25</v>
      </c>
      <c r="P17" s="278"/>
      <c r="Q17" s="278"/>
      <c r="R17" s="276"/>
    </row>
    <row r="18" spans="2:23" x14ac:dyDescent="0.2">
      <c r="B18" s="41" t="s">
        <v>0</v>
      </c>
      <c r="C18" s="16"/>
      <c r="D18" s="16"/>
      <c r="F18" s="277" t="s">
        <v>16</v>
      </c>
      <c r="G18" s="276"/>
      <c r="H18" s="31"/>
      <c r="I18" s="31" t="s">
        <v>17</v>
      </c>
      <c r="J18" s="17"/>
      <c r="K18" s="17" t="s">
        <v>19</v>
      </c>
      <c r="L18" s="17" t="s">
        <v>20</v>
      </c>
      <c r="M18" s="17"/>
      <c r="N18" s="17"/>
      <c r="O18" s="277" t="s">
        <v>16</v>
      </c>
      <c r="P18" s="276"/>
      <c r="Q18" s="31"/>
      <c r="R18" s="31" t="s">
        <v>17</v>
      </c>
      <c r="T18" s="17" t="s">
        <v>19</v>
      </c>
      <c r="U18" s="17" t="s">
        <v>20</v>
      </c>
    </row>
    <row r="19" spans="2:23" x14ac:dyDescent="0.2">
      <c r="B19" s="16"/>
      <c r="C19" s="16"/>
      <c r="D19" s="16"/>
      <c r="F19" s="21">
        <v>5</v>
      </c>
      <c r="G19" s="29">
        <v>10</v>
      </c>
      <c r="H19" s="22">
        <f>IF(AND($C$11&gt;=F19,$C$11&lt;G19,1),I19,0)</f>
        <v>0</v>
      </c>
      <c r="I19" s="22">
        <f>L19+(L20-L19)*($C$11-K19)/(K20-K19)</f>
        <v>45.434903638368382</v>
      </c>
      <c r="J19" s="19"/>
      <c r="K19" s="2">
        <v>5</v>
      </c>
      <c r="L19" s="2">
        <v>394</v>
      </c>
      <c r="M19" s="2"/>
      <c r="N19" s="2"/>
      <c r="O19" s="21">
        <v>5</v>
      </c>
      <c r="P19" s="29">
        <v>10</v>
      </c>
      <c r="Q19" s="22">
        <f>IF(AND($C$11&gt;=O19,$C$11&lt;P19,1),R19,0)</f>
        <v>0</v>
      </c>
      <c r="R19" s="22">
        <f t="shared" ref="R19:R30" si="6">U19+(U20-U19)*($C$11-T19)/(T20-T19)</f>
        <v>-20.937635281146555</v>
      </c>
      <c r="S19" s="20"/>
      <c r="T19" s="2">
        <v>5</v>
      </c>
      <c r="U19" s="2">
        <v>224</v>
      </c>
    </row>
    <row r="20" spans="2:23" x14ac:dyDescent="0.2">
      <c r="B20" s="16" t="s">
        <v>14</v>
      </c>
      <c r="C20" s="16"/>
      <c r="D20" s="42">
        <v>5</v>
      </c>
      <c r="F20" s="21">
        <v>10</v>
      </c>
      <c r="G20" s="29">
        <v>20</v>
      </c>
      <c r="H20" s="22">
        <f t="shared" ref="H20:H29" si="7">IF(AND($C$11&gt;=F20,$C$11&lt;G20,1),I20,0)</f>
        <v>0</v>
      </c>
      <c r="I20" s="22">
        <f t="shared" ref="I20:I30" si="8">L20+(L21-L20)*($C$11-K20)/(K21-K20)</f>
        <v>171.74507783902988</v>
      </c>
      <c r="J20" s="19"/>
      <c r="K20" s="2">
        <v>10</v>
      </c>
      <c r="L20" s="2">
        <v>357</v>
      </c>
      <c r="M20" s="2"/>
      <c r="N20" s="2"/>
      <c r="O20" s="21">
        <v>10</v>
      </c>
      <c r="P20" s="29">
        <v>20</v>
      </c>
      <c r="Q20" s="22">
        <f t="shared" ref="Q20:Q29" si="9">IF(AND($C$11&gt;=O20,$C$11&lt;P20,1),R20,0)</f>
        <v>0</v>
      </c>
      <c r="R20" s="22">
        <f t="shared" si="6"/>
        <v>67.479486659316478</v>
      </c>
      <c r="S20" s="17"/>
      <c r="T20" s="2">
        <v>10</v>
      </c>
      <c r="U20" s="2">
        <v>198</v>
      </c>
      <c r="V20" s="2"/>
      <c r="W20" s="2"/>
    </row>
    <row r="21" spans="2:23" x14ac:dyDescent="0.2">
      <c r="B21" s="16"/>
      <c r="C21" s="16"/>
      <c r="D21" s="16"/>
      <c r="F21" s="23">
        <v>20</v>
      </c>
      <c r="G21" s="29">
        <v>30</v>
      </c>
      <c r="H21" s="22">
        <f t="shared" si="7"/>
        <v>0</v>
      </c>
      <c r="I21" s="22">
        <f t="shared" si="8"/>
        <v>207.05880837927239</v>
      </c>
      <c r="J21" s="19"/>
      <c r="K21" s="2">
        <v>20</v>
      </c>
      <c r="L21" s="2">
        <v>313</v>
      </c>
      <c r="M21" s="2">
        <f t="shared" ref="M21:N31" si="10">L21-L20</f>
        <v>-44</v>
      </c>
      <c r="N21" s="2"/>
      <c r="O21" s="23">
        <v>20</v>
      </c>
      <c r="P21" s="29">
        <v>30</v>
      </c>
      <c r="Q21" s="22">
        <f t="shared" si="9"/>
        <v>0</v>
      </c>
      <c r="R21" s="22">
        <f t="shared" si="6"/>
        <v>96.372538919514938</v>
      </c>
      <c r="S21" s="19"/>
      <c r="T21" s="2">
        <v>20</v>
      </c>
      <c r="U21" s="2">
        <v>167</v>
      </c>
      <c r="V21" s="2">
        <f t="shared" ref="V21:W31" si="11">U21-U20</f>
        <v>-31</v>
      </c>
      <c r="W21" s="2"/>
    </row>
    <row r="22" spans="2:23" x14ac:dyDescent="0.2">
      <c r="B22" s="250" t="s">
        <v>9</v>
      </c>
      <c r="C22" s="251" t="s">
        <v>4</v>
      </c>
      <c r="D22" s="45"/>
      <c r="F22" s="23">
        <v>30</v>
      </c>
      <c r="G22" s="29">
        <v>40</v>
      </c>
      <c r="H22" s="22">
        <f t="shared" si="7"/>
        <v>0</v>
      </c>
      <c r="I22" s="22">
        <f t="shared" si="8"/>
        <v>218.11050407938262</v>
      </c>
      <c r="J22" s="19"/>
      <c r="K22" s="2">
        <v>30</v>
      </c>
      <c r="L22" s="2">
        <v>280</v>
      </c>
      <c r="M22" s="2">
        <f t="shared" si="10"/>
        <v>-33</v>
      </c>
      <c r="N22" s="2">
        <f t="shared" si="10"/>
        <v>11</v>
      </c>
      <c r="O22" s="23">
        <v>30</v>
      </c>
      <c r="P22" s="29">
        <v>40</v>
      </c>
      <c r="Q22" s="22">
        <f t="shared" si="9"/>
        <v>0</v>
      </c>
      <c r="R22" s="22">
        <f t="shared" si="6"/>
        <v>105.21389547960312</v>
      </c>
      <c r="S22" s="19"/>
      <c r="T22" s="2">
        <v>30</v>
      </c>
      <c r="U22" s="2">
        <v>145</v>
      </c>
      <c r="V22" s="2">
        <f t="shared" si="11"/>
        <v>-22</v>
      </c>
      <c r="W22" s="2">
        <f t="shared" si="11"/>
        <v>9</v>
      </c>
    </row>
    <row r="23" spans="2:23" x14ac:dyDescent="0.2">
      <c r="B23" s="46"/>
      <c r="C23" s="12"/>
      <c r="D23" s="47"/>
      <c r="F23" s="23">
        <v>40</v>
      </c>
      <c r="G23" s="29">
        <v>50</v>
      </c>
      <c r="H23" s="22">
        <f t="shared" si="7"/>
        <v>0</v>
      </c>
      <c r="I23" s="22">
        <f t="shared" si="8"/>
        <v>225.37253891951494</v>
      </c>
      <c r="J23" s="19"/>
      <c r="K23" s="2">
        <v>40</v>
      </c>
      <c r="L23" s="2">
        <v>252</v>
      </c>
      <c r="M23" s="2">
        <f t="shared" si="10"/>
        <v>-28</v>
      </c>
      <c r="N23" s="2">
        <f t="shared" si="10"/>
        <v>5</v>
      </c>
      <c r="O23" s="23">
        <v>40</v>
      </c>
      <c r="P23" s="29">
        <v>50</v>
      </c>
      <c r="Q23" s="22">
        <f t="shared" si="9"/>
        <v>0</v>
      </c>
      <c r="R23" s="22">
        <f t="shared" si="6"/>
        <v>107.63457375964722</v>
      </c>
      <c r="S23" s="19"/>
      <c r="T23" s="2">
        <v>40</v>
      </c>
      <c r="U23" s="2">
        <v>127</v>
      </c>
      <c r="V23" s="2">
        <f t="shared" si="11"/>
        <v>-18</v>
      </c>
      <c r="W23" s="2">
        <f t="shared" si="11"/>
        <v>4</v>
      </c>
    </row>
    <row r="24" spans="2:23" x14ac:dyDescent="0.2">
      <c r="B24" s="46" t="s">
        <v>5</v>
      </c>
      <c r="C24" s="48">
        <v>23.61</v>
      </c>
      <c r="D24" s="47" t="s">
        <v>1</v>
      </c>
      <c r="F24" s="21">
        <v>50</v>
      </c>
      <c r="G24" s="29">
        <v>60</v>
      </c>
      <c r="H24" s="22">
        <f t="shared" si="7"/>
        <v>225.79321719955902</v>
      </c>
      <c r="I24" s="22">
        <f t="shared" si="8"/>
        <v>225.79321719955902</v>
      </c>
      <c r="J24" s="19"/>
      <c r="K24" s="2">
        <v>50</v>
      </c>
      <c r="L24" s="2">
        <v>230</v>
      </c>
      <c r="M24" s="2">
        <f t="shared" si="10"/>
        <v>-22</v>
      </c>
      <c r="N24" s="2">
        <f t="shared" si="10"/>
        <v>6</v>
      </c>
      <c r="O24" s="21">
        <v>50</v>
      </c>
      <c r="P24" s="29">
        <v>60</v>
      </c>
      <c r="Q24" s="22">
        <f t="shared" si="9"/>
        <v>108.47593031973541</v>
      </c>
      <c r="R24" s="22">
        <f t="shared" si="6"/>
        <v>108.47593031973541</v>
      </c>
      <c r="S24" s="19"/>
      <c r="T24" s="2">
        <v>50</v>
      </c>
      <c r="U24" s="2">
        <v>111</v>
      </c>
      <c r="V24" s="2">
        <f t="shared" si="11"/>
        <v>-16</v>
      </c>
      <c r="W24" s="2">
        <f t="shared" si="11"/>
        <v>2</v>
      </c>
    </row>
    <row r="25" spans="2:23" x14ac:dyDescent="0.2">
      <c r="B25" s="46" t="s">
        <v>6</v>
      </c>
      <c r="C25" s="48">
        <v>0.219</v>
      </c>
      <c r="D25" s="47" t="s">
        <v>1</v>
      </c>
      <c r="F25" s="23">
        <v>60</v>
      </c>
      <c r="G25" s="29">
        <v>70</v>
      </c>
      <c r="H25" s="22">
        <f t="shared" si="7"/>
        <v>0</v>
      </c>
      <c r="I25" s="22">
        <f t="shared" si="8"/>
        <v>223.42423461962517</v>
      </c>
      <c r="J25" s="19"/>
      <c r="K25" s="2">
        <v>60</v>
      </c>
      <c r="L25" s="2">
        <v>210</v>
      </c>
      <c r="M25" s="2">
        <f t="shared" si="10"/>
        <v>-20</v>
      </c>
      <c r="N25" s="2">
        <f t="shared" si="10"/>
        <v>2</v>
      </c>
      <c r="O25" s="23">
        <v>60</v>
      </c>
      <c r="P25" s="29">
        <v>70</v>
      </c>
      <c r="Q25" s="22">
        <f t="shared" si="9"/>
        <v>0</v>
      </c>
      <c r="R25" s="22">
        <f t="shared" si="6"/>
        <v>107.68626945975747</v>
      </c>
      <c r="S25" s="19"/>
      <c r="T25" s="2">
        <v>60</v>
      </c>
      <c r="U25" s="2">
        <v>99</v>
      </c>
      <c r="V25" s="2">
        <f t="shared" si="11"/>
        <v>-12</v>
      </c>
      <c r="W25" s="2">
        <f t="shared" si="11"/>
        <v>4</v>
      </c>
    </row>
    <row r="26" spans="2:23" x14ac:dyDescent="0.2">
      <c r="B26" s="46" t="s">
        <v>7</v>
      </c>
      <c r="C26" s="13">
        <f>D20/60</f>
        <v>8.3333333333333329E-2</v>
      </c>
      <c r="D26" s="47" t="s">
        <v>1</v>
      </c>
      <c r="F26" s="23">
        <v>70</v>
      </c>
      <c r="G26" s="29">
        <v>80</v>
      </c>
      <c r="H26" s="22">
        <f t="shared" si="7"/>
        <v>0</v>
      </c>
      <c r="I26" s="22">
        <f t="shared" si="8"/>
        <v>219.84491289966928</v>
      </c>
      <c r="J26" s="19"/>
      <c r="K26" s="2">
        <v>70</v>
      </c>
      <c r="L26" s="2">
        <v>193</v>
      </c>
      <c r="M26" s="2">
        <f t="shared" si="10"/>
        <v>-17</v>
      </c>
      <c r="N26" s="2">
        <f t="shared" si="10"/>
        <v>3</v>
      </c>
      <c r="O26" s="23">
        <v>70</v>
      </c>
      <c r="P26" s="29">
        <v>80</v>
      </c>
      <c r="Q26" s="22">
        <f t="shared" si="9"/>
        <v>0</v>
      </c>
      <c r="R26" s="22">
        <f t="shared" si="6"/>
        <v>107.68626945975745</v>
      </c>
      <c r="S26" s="19"/>
      <c r="T26" s="2">
        <v>70</v>
      </c>
      <c r="U26" s="2">
        <v>88</v>
      </c>
      <c r="V26" s="2">
        <f t="shared" si="11"/>
        <v>-11</v>
      </c>
      <c r="W26" s="2">
        <f t="shared" si="11"/>
        <v>1</v>
      </c>
    </row>
    <row r="27" spans="2:23" x14ac:dyDescent="0.2">
      <c r="B27" s="46" t="s">
        <v>2</v>
      </c>
      <c r="C27" s="13">
        <f>C24/(C26+C25)</f>
        <v>78.092613009922815</v>
      </c>
      <c r="D27" s="47" t="s">
        <v>3</v>
      </c>
      <c r="F27" s="23">
        <v>80</v>
      </c>
      <c r="G27" s="29">
        <v>90</v>
      </c>
      <c r="H27" s="22">
        <f t="shared" si="7"/>
        <v>0</v>
      </c>
      <c r="I27" s="22">
        <f t="shared" si="8"/>
        <v>217.05525203969131</v>
      </c>
      <c r="J27" s="19"/>
      <c r="K27" s="2">
        <v>80</v>
      </c>
      <c r="L27" s="2">
        <v>178</v>
      </c>
      <c r="M27" s="2">
        <f t="shared" si="10"/>
        <v>-15</v>
      </c>
      <c r="N27" s="2">
        <f t="shared" si="10"/>
        <v>2</v>
      </c>
      <c r="O27" s="23">
        <v>80</v>
      </c>
      <c r="P27" s="29">
        <v>90</v>
      </c>
      <c r="Q27" s="22">
        <f t="shared" si="9"/>
        <v>0</v>
      </c>
      <c r="R27" s="22">
        <f t="shared" si="6"/>
        <v>99.317286879823612</v>
      </c>
      <c r="S27" s="19"/>
      <c r="T27" s="2">
        <v>80</v>
      </c>
      <c r="U27" s="2">
        <v>77</v>
      </c>
      <c r="V27" s="2">
        <f t="shared" si="11"/>
        <v>-11</v>
      </c>
      <c r="W27" s="2">
        <f t="shared" si="11"/>
        <v>0</v>
      </c>
    </row>
    <row r="28" spans="2:23" x14ac:dyDescent="0.2">
      <c r="B28" s="49" t="s">
        <v>2</v>
      </c>
      <c r="C28" s="50">
        <f>C27*2.78</f>
        <v>217.0974641675854</v>
      </c>
      <c r="D28" s="51" t="s">
        <v>8</v>
      </c>
      <c r="F28" s="21">
        <v>90</v>
      </c>
      <c r="G28" s="29">
        <v>100</v>
      </c>
      <c r="H28" s="22">
        <f t="shared" si="7"/>
        <v>0</v>
      </c>
      <c r="I28" s="22">
        <f t="shared" si="8"/>
        <v>213.26559117971337</v>
      </c>
      <c r="J28" s="19"/>
      <c r="K28" s="2">
        <v>90</v>
      </c>
      <c r="L28" s="2">
        <v>164</v>
      </c>
      <c r="M28" s="2">
        <f t="shared" si="10"/>
        <v>-14</v>
      </c>
      <c r="N28" s="2">
        <f t="shared" si="10"/>
        <v>1</v>
      </c>
      <c r="O28" s="21">
        <v>90</v>
      </c>
      <c r="P28" s="29">
        <v>100</v>
      </c>
      <c r="Q28" s="22">
        <f t="shared" si="9"/>
        <v>0</v>
      </c>
      <c r="R28" s="22">
        <f t="shared" si="6"/>
        <v>95.527626019845655</v>
      </c>
      <c r="S28" s="19"/>
      <c r="T28" s="2">
        <v>90</v>
      </c>
      <c r="U28" s="2">
        <v>69</v>
      </c>
      <c r="V28" s="2">
        <f t="shared" si="11"/>
        <v>-8</v>
      </c>
      <c r="W28" s="2">
        <f t="shared" si="11"/>
        <v>3</v>
      </c>
    </row>
    <row r="29" spans="2:23" x14ac:dyDescent="0.2">
      <c r="B29" s="16"/>
      <c r="C29" s="16"/>
      <c r="D29" s="16"/>
      <c r="F29" s="23">
        <v>100</v>
      </c>
      <c r="G29" s="29">
        <v>110</v>
      </c>
      <c r="H29" s="22">
        <f t="shared" si="7"/>
        <v>0</v>
      </c>
      <c r="I29" s="22">
        <f t="shared" si="8"/>
        <v>203.68626945975745</v>
      </c>
      <c r="J29" s="19"/>
      <c r="K29" s="2">
        <v>100</v>
      </c>
      <c r="L29" s="2">
        <v>151</v>
      </c>
      <c r="M29" s="2">
        <f t="shared" si="10"/>
        <v>-13</v>
      </c>
      <c r="N29" s="2">
        <f t="shared" si="10"/>
        <v>1</v>
      </c>
      <c r="O29" s="23">
        <v>100</v>
      </c>
      <c r="P29" s="29">
        <v>110</v>
      </c>
      <c r="Q29" s="22">
        <f t="shared" si="9"/>
        <v>0</v>
      </c>
      <c r="R29" s="22">
        <f t="shared" si="6"/>
        <v>90.737965159867713</v>
      </c>
      <c r="S29" s="19"/>
      <c r="T29" s="2">
        <v>100</v>
      </c>
      <c r="U29" s="2">
        <v>62</v>
      </c>
      <c r="V29" s="2">
        <f t="shared" si="11"/>
        <v>-7</v>
      </c>
      <c r="W29" s="2">
        <f t="shared" si="11"/>
        <v>1</v>
      </c>
    </row>
    <row r="30" spans="2:23" x14ac:dyDescent="0.2">
      <c r="B30" s="250" t="s">
        <v>9</v>
      </c>
      <c r="C30" s="251" t="s">
        <v>10</v>
      </c>
      <c r="D30" s="45"/>
      <c r="F30" s="24">
        <v>110</v>
      </c>
      <c r="G30" s="30">
        <v>120</v>
      </c>
      <c r="H30" s="22">
        <f>IF(AND($C$11&gt;=F30,$C$11&lt;=G30,1),I30,IF($C$11&lt;F30,0,$L$31))</f>
        <v>0</v>
      </c>
      <c r="I30" s="25">
        <f t="shared" si="8"/>
        <v>197.89660859977951</v>
      </c>
      <c r="J30" s="19"/>
      <c r="K30" s="2">
        <v>110</v>
      </c>
      <c r="L30" s="2">
        <v>140</v>
      </c>
      <c r="M30" s="2">
        <f t="shared" si="10"/>
        <v>-11</v>
      </c>
      <c r="N30" s="2">
        <f t="shared" si="10"/>
        <v>2</v>
      </c>
      <c r="O30" s="24">
        <v>110</v>
      </c>
      <c r="P30" s="30">
        <v>120</v>
      </c>
      <c r="Q30" s="22">
        <f>IF(AND($C$11&gt;=O30,$C$11&lt;=P30,1),R30,IF($C$11&lt;O30,0,$U$31))</f>
        <v>0</v>
      </c>
      <c r="R30" s="25">
        <f t="shared" si="6"/>
        <v>90.737965159867713</v>
      </c>
      <c r="S30" s="19"/>
      <c r="T30" s="2">
        <v>110</v>
      </c>
      <c r="U30" s="2">
        <v>56</v>
      </c>
      <c r="V30" s="2">
        <f t="shared" si="11"/>
        <v>-6</v>
      </c>
      <c r="W30" s="2">
        <f t="shared" si="11"/>
        <v>1</v>
      </c>
    </row>
    <row r="31" spans="2:23" x14ac:dyDescent="0.2">
      <c r="B31" s="46"/>
      <c r="C31" s="12"/>
      <c r="D31" s="47"/>
      <c r="F31" s="5"/>
      <c r="K31" s="2">
        <v>120</v>
      </c>
      <c r="L31" s="2">
        <v>130</v>
      </c>
      <c r="M31" s="2">
        <f t="shared" si="10"/>
        <v>-10</v>
      </c>
      <c r="N31" s="2">
        <f>M31-M30</f>
        <v>1</v>
      </c>
      <c r="O31" s="5"/>
      <c r="S31" s="19"/>
      <c r="T31" s="2">
        <v>120</v>
      </c>
      <c r="U31" s="2">
        <v>50</v>
      </c>
      <c r="V31" s="2">
        <f t="shared" si="11"/>
        <v>-6</v>
      </c>
      <c r="W31" s="2">
        <f>V31-V30</f>
        <v>0</v>
      </c>
    </row>
    <row r="32" spans="2:23" x14ac:dyDescent="0.2">
      <c r="B32" s="46" t="s">
        <v>5</v>
      </c>
      <c r="C32" s="48">
        <v>28.6</v>
      </c>
      <c r="D32" s="47" t="s">
        <v>1</v>
      </c>
      <c r="F32" s="277" t="s">
        <v>26</v>
      </c>
      <c r="G32" s="278"/>
      <c r="H32" s="278"/>
      <c r="I32" s="276"/>
      <c r="J32" s="20"/>
      <c r="K32" s="20"/>
      <c r="L32" s="20"/>
      <c r="M32" s="20"/>
      <c r="N32" s="20"/>
      <c r="O32" s="277" t="s">
        <v>27</v>
      </c>
      <c r="P32" s="278"/>
      <c r="Q32" s="278"/>
      <c r="R32" s="276"/>
      <c r="S32" s="19"/>
    </row>
    <row r="33" spans="2:21" x14ac:dyDescent="0.2">
      <c r="B33" s="46" t="s">
        <v>6</v>
      </c>
      <c r="C33" s="48">
        <v>0.224</v>
      </c>
      <c r="D33" s="47" t="s">
        <v>1</v>
      </c>
      <c r="F33" s="277" t="s">
        <v>16</v>
      </c>
      <c r="G33" s="276"/>
      <c r="H33" s="31"/>
      <c r="I33" s="31" t="s">
        <v>17</v>
      </c>
      <c r="J33" s="17"/>
      <c r="K33" s="17" t="s">
        <v>19</v>
      </c>
      <c r="L33" s="17" t="s">
        <v>20</v>
      </c>
      <c r="M33" s="17"/>
      <c r="N33" s="17"/>
      <c r="O33" s="277" t="s">
        <v>16</v>
      </c>
      <c r="P33" s="276"/>
      <c r="Q33" s="31"/>
      <c r="R33" s="31" t="s">
        <v>17</v>
      </c>
      <c r="T33" s="17" t="s">
        <v>19</v>
      </c>
      <c r="U33" s="17" t="s">
        <v>20</v>
      </c>
    </row>
    <row r="34" spans="2:21" x14ac:dyDescent="0.2">
      <c r="B34" s="46" t="s">
        <v>7</v>
      </c>
      <c r="C34" s="13">
        <f>D20/60</f>
        <v>8.3333333333333329E-2</v>
      </c>
      <c r="D34" s="47" t="s">
        <v>1</v>
      </c>
      <c r="F34" s="21">
        <v>5</v>
      </c>
      <c r="G34" s="29">
        <v>10</v>
      </c>
      <c r="H34" s="22">
        <f>IF(AND($C$11&gt;=F34,$C$11&lt;G34,1),I34,0)</f>
        <v>0</v>
      </c>
      <c r="I34" s="22">
        <f t="shared" ref="I34:I45" si="12">AVERAGE(I4,I19)</f>
        <v>21.565921058434526</v>
      </c>
      <c r="J34" s="19"/>
      <c r="K34" s="2">
        <v>5</v>
      </c>
      <c r="L34" s="2">
        <f>AVERAGE(L4,L19)</f>
        <v>356</v>
      </c>
      <c r="M34" s="2"/>
      <c r="N34" s="2"/>
      <c r="O34" s="21">
        <v>5</v>
      </c>
      <c r="P34" s="29">
        <v>10</v>
      </c>
      <c r="Q34" s="22">
        <f>IF(AND($C$11&gt;=O34,$C$11&lt;P34,1),R34,0)</f>
        <v>0</v>
      </c>
      <c r="R34" s="22">
        <f t="shared" ref="R34:R45" si="13">AVERAGE(R4,R19)</f>
        <v>-19.385939581036311</v>
      </c>
      <c r="T34" s="2">
        <v>5</v>
      </c>
      <c r="U34" s="2">
        <f>AVERAGE(U4,U19)</f>
        <v>202</v>
      </c>
    </row>
    <row r="35" spans="2:21" x14ac:dyDescent="0.2">
      <c r="B35" s="46" t="s">
        <v>2</v>
      </c>
      <c r="C35" s="13">
        <f>C32/(C34+C33)</f>
        <v>93.058568329718</v>
      </c>
      <c r="D35" s="47" t="s">
        <v>3</v>
      </c>
      <c r="F35" s="21">
        <v>10</v>
      </c>
      <c r="G35" s="29">
        <v>20</v>
      </c>
      <c r="H35" s="22">
        <f t="shared" ref="H35:H44" si="14">IF(AND($C$11&gt;=F35,$C$11&lt;G35,1),I35,0)</f>
        <v>0</v>
      </c>
      <c r="I35" s="22">
        <f t="shared" si="12"/>
        <v>147.87609525909602</v>
      </c>
      <c r="J35" s="19"/>
      <c r="K35" s="2">
        <v>10</v>
      </c>
      <c r="L35" s="2">
        <f t="shared" ref="L35:L46" si="15">AVERAGE(L5,L20)</f>
        <v>320.5</v>
      </c>
      <c r="M35" s="2"/>
      <c r="N35" s="2"/>
      <c r="O35" s="21">
        <v>10</v>
      </c>
      <c r="P35" s="29">
        <v>20</v>
      </c>
      <c r="Q35" s="22">
        <f t="shared" ref="Q35:Q44" si="16">IF(AND($C$11&gt;=O35,$C$11&lt;P35,1),R35,0)</f>
        <v>0</v>
      </c>
      <c r="R35" s="22">
        <f t="shared" si="13"/>
        <v>56.400164939360579</v>
      </c>
      <c r="T35" s="2">
        <v>10</v>
      </c>
      <c r="U35" s="2">
        <f t="shared" ref="U35:U46" si="17">AVERAGE(U5,U20)</f>
        <v>178.5</v>
      </c>
    </row>
    <row r="36" spans="2:21" x14ac:dyDescent="0.2">
      <c r="B36" s="49" t="s">
        <v>2</v>
      </c>
      <c r="C36" s="50">
        <f>C35*2.78</f>
        <v>258.702819956616</v>
      </c>
      <c r="D36" s="51" t="s">
        <v>8</v>
      </c>
      <c r="F36" s="23">
        <v>20</v>
      </c>
      <c r="G36" s="29">
        <v>30</v>
      </c>
      <c r="H36" s="22">
        <f t="shared" si="14"/>
        <v>0</v>
      </c>
      <c r="I36" s="22">
        <f t="shared" si="12"/>
        <v>179.97948665931648</v>
      </c>
      <c r="J36" s="19"/>
      <c r="K36" s="2">
        <v>20</v>
      </c>
      <c r="L36" s="2">
        <f t="shared" si="15"/>
        <v>279.5</v>
      </c>
      <c r="M36" s="2"/>
      <c r="N36" s="2"/>
      <c r="O36" s="23">
        <v>20</v>
      </c>
      <c r="P36" s="29">
        <v>30</v>
      </c>
      <c r="Q36" s="22">
        <f t="shared" si="16"/>
        <v>0</v>
      </c>
      <c r="R36" s="22">
        <f t="shared" si="13"/>
        <v>80.477708489525952</v>
      </c>
      <c r="T36" s="2">
        <v>20</v>
      </c>
      <c r="U36" s="2">
        <f t="shared" si="17"/>
        <v>149.5</v>
      </c>
    </row>
    <row r="37" spans="2:21" ht="12" customHeight="1" x14ac:dyDescent="0.2">
      <c r="B37" s="16"/>
      <c r="C37" s="16"/>
      <c r="D37" s="16"/>
      <c r="F37" s="23">
        <v>30</v>
      </c>
      <c r="G37" s="29">
        <v>40</v>
      </c>
      <c r="H37" s="22">
        <f t="shared" si="14"/>
        <v>0</v>
      </c>
      <c r="I37" s="22">
        <f t="shared" si="12"/>
        <v>193.24152149944877</v>
      </c>
      <c r="J37" s="19"/>
      <c r="K37" s="2">
        <v>30</v>
      </c>
      <c r="L37" s="2">
        <f t="shared" si="15"/>
        <v>248.5</v>
      </c>
      <c r="M37" s="2"/>
      <c r="N37" s="2"/>
      <c r="O37" s="23">
        <v>30</v>
      </c>
      <c r="P37" s="29">
        <v>40</v>
      </c>
      <c r="Q37" s="22">
        <f t="shared" si="16"/>
        <v>0</v>
      </c>
      <c r="R37" s="22">
        <f t="shared" si="13"/>
        <v>91.529404189636196</v>
      </c>
      <c r="T37" s="2">
        <v>30</v>
      </c>
      <c r="U37" s="2">
        <f t="shared" si="17"/>
        <v>128</v>
      </c>
    </row>
    <row r="38" spans="2:21" x14ac:dyDescent="0.2">
      <c r="B38" s="16" t="s">
        <v>4</v>
      </c>
      <c r="C38" s="16"/>
      <c r="D38" s="52">
        <v>217.0974641675854</v>
      </c>
      <c r="F38" s="23">
        <v>40</v>
      </c>
      <c r="G38" s="29">
        <v>50</v>
      </c>
      <c r="H38" s="22">
        <f t="shared" si="14"/>
        <v>0</v>
      </c>
      <c r="I38" s="22">
        <f t="shared" si="12"/>
        <v>198.68804762954801</v>
      </c>
      <c r="J38" s="19"/>
      <c r="K38" s="2">
        <v>40</v>
      </c>
      <c r="L38" s="2">
        <f t="shared" si="15"/>
        <v>223.5</v>
      </c>
      <c r="M38" s="2"/>
      <c r="N38" s="2"/>
      <c r="O38" s="23">
        <v>40</v>
      </c>
      <c r="P38" s="29">
        <v>50</v>
      </c>
      <c r="Q38" s="22">
        <f t="shared" si="16"/>
        <v>0</v>
      </c>
      <c r="R38" s="22">
        <f t="shared" si="13"/>
        <v>93.344912899669268</v>
      </c>
      <c r="S38" s="20"/>
      <c r="T38" s="2">
        <v>40</v>
      </c>
      <c r="U38" s="2">
        <f t="shared" si="17"/>
        <v>111.5</v>
      </c>
    </row>
    <row r="39" spans="2:21" x14ac:dyDescent="0.2">
      <c r="B39" s="16" t="s">
        <v>10</v>
      </c>
      <c r="C39" s="16"/>
      <c r="D39" s="52">
        <v>258.702819956616</v>
      </c>
      <c r="F39" s="21">
        <v>50</v>
      </c>
      <c r="G39" s="29">
        <v>60</v>
      </c>
      <c r="H39" s="22">
        <f t="shared" si="14"/>
        <v>199.1087259095921</v>
      </c>
      <c r="I39" s="22">
        <f>AVERAGE(I9,I24)</f>
        <v>199.1087259095921</v>
      </c>
      <c r="J39" s="19"/>
      <c r="K39" s="2">
        <v>50</v>
      </c>
      <c r="L39" s="2">
        <f t="shared" si="15"/>
        <v>203</v>
      </c>
      <c r="M39" s="2"/>
      <c r="N39" s="2"/>
      <c r="O39" s="21">
        <v>50</v>
      </c>
      <c r="P39" s="29">
        <v>60</v>
      </c>
      <c r="Q39" s="22">
        <f t="shared" si="16"/>
        <v>93.975930319735411</v>
      </c>
      <c r="R39" s="22">
        <f>AVERAGE(R9,R24)</f>
        <v>93.975930319735411</v>
      </c>
      <c r="S39" s="17"/>
      <c r="T39" s="2">
        <v>50</v>
      </c>
      <c r="U39" s="2">
        <f t="shared" si="17"/>
        <v>96.5</v>
      </c>
    </row>
    <row r="40" spans="2:21" x14ac:dyDescent="0.2">
      <c r="B40" s="16" t="s">
        <v>12</v>
      </c>
      <c r="C40" s="16"/>
      <c r="D40" s="52">
        <f>AVERAGE(D38:D39)</f>
        <v>237.90014206210071</v>
      </c>
      <c r="E40" s="5"/>
      <c r="F40" s="23">
        <v>60</v>
      </c>
      <c r="G40" s="29">
        <v>70</v>
      </c>
      <c r="H40" s="22">
        <f t="shared" si="14"/>
        <v>0</v>
      </c>
      <c r="I40" s="22">
        <f>AVERAGE(I10,I25)</f>
        <v>197.13457375964722</v>
      </c>
      <c r="J40" s="19"/>
      <c r="K40" s="2">
        <v>60</v>
      </c>
      <c r="L40" s="2">
        <f t="shared" si="15"/>
        <v>184.5</v>
      </c>
      <c r="M40" s="2"/>
      <c r="N40" s="2"/>
      <c r="O40" s="23">
        <v>60</v>
      </c>
      <c r="P40" s="29">
        <v>70</v>
      </c>
      <c r="Q40" s="22">
        <f t="shared" si="16"/>
        <v>0</v>
      </c>
      <c r="R40" s="22">
        <f>AVERAGE(R10,R25)</f>
        <v>92.396608599779512</v>
      </c>
      <c r="S40" s="19"/>
      <c r="T40" s="2">
        <v>60</v>
      </c>
      <c r="U40" s="2">
        <f t="shared" si="17"/>
        <v>84.5</v>
      </c>
    </row>
    <row r="41" spans="2:21" x14ac:dyDescent="0.2">
      <c r="B41" s="16"/>
      <c r="C41" s="16"/>
      <c r="D41" s="16"/>
      <c r="F41" s="23">
        <v>70</v>
      </c>
      <c r="G41" s="29">
        <v>80</v>
      </c>
      <c r="H41" s="22">
        <f t="shared" si="14"/>
        <v>0</v>
      </c>
      <c r="I41" s="22">
        <f>AVERAGE(I11,I26)</f>
        <v>193.55525203969131</v>
      </c>
      <c r="J41" s="19"/>
      <c r="K41" s="2">
        <v>70</v>
      </c>
      <c r="L41" s="2">
        <f t="shared" si="15"/>
        <v>168.5</v>
      </c>
      <c r="M41" s="2"/>
      <c r="N41" s="2"/>
      <c r="O41" s="23">
        <v>70</v>
      </c>
      <c r="P41" s="29">
        <v>80</v>
      </c>
      <c r="Q41" s="22">
        <f t="shared" si="16"/>
        <v>0</v>
      </c>
      <c r="R41" s="22">
        <f>AVERAGE(R11,R26)</f>
        <v>91.501778169790526</v>
      </c>
      <c r="S41" s="19"/>
      <c r="T41" s="2">
        <v>70</v>
      </c>
      <c r="U41" s="2">
        <f t="shared" si="17"/>
        <v>74.5</v>
      </c>
    </row>
    <row r="42" spans="2:21" x14ac:dyDescent="0.2">
      <c r="B42" s="16" t="s">
        <v>11</v>
      </c>
      <c r="D42" s="15">
        <v>217.0974641675854</v>
      </c>
      <c r="E42" s="14"/>
      <c r="F42" s="23">
        <v>80</v>
      </c>
      <c r="G42" s="29">
        <v>90</v>
      </c>
      <c r="H42" s="22">
        <f t="shared" si="14"/>
        <v>0</v>
      </c>
      <c r="I42" s="22">
        <f t="shared" si="12"/>
        <v>189.37076074972438</v>
      </c>
      <c r="J42" s="19"/>
      <c r="K42" s="2">
        <v>80</v>
      </c>
      <c r="L42" s="2">
        <f t="shared" si="15"/>
        <v>154.5</v>
      </c>
      <c r="M42" s="2"/>
      <c r="N42" s="2"/>
      <c r="O42" s="23">
        <v>80</v>
      </c>
      <c r="P42" s="29">
        <v>90</v>
      </c>
      <c r="Q42" s="22">
        <f t="shared" si="16"/>
        <v>0</v>
      </c>
      <c r="R42" s="22">
        <f t="shared" si="13"/>
        <v>85.922456449834641</v>
      </c>
      <c r="S42" s="19"/>
      <c r="T42" s="2">
        <v>80</v>
      </c>
      <c r="U42" s="2">
        <f t="shared" si="17"/>
        <v>65</v>
      </c>
    </row>
    <row r="43" spans="2:21" x14ac:dyDescent="0.2">
      <c r="E43" s="14"/>
      <c r="F43" s="21">
        <v>90</v>
      </c>
      <c r="G43" s="29">
        <v>100</v>
      </c>
      <c r="H43" s="22">
        <f t="shared" si="14"/>
        <v>0</v>
      </c>
      <c r="I43" s="22">
        <f t="shared" si="12"/>
        <v>185.58109988974644</v>
      </c>
      <c r="J43" s="19"/>
      <c r="K43" s="2">
        <v>90</v>
      </c>
      <c r="L43" s="2">
        <f t="shared" si="15"/>
        <v>142</v>
      </c>
      <c r="M43" s="2"/>
      <c r="N43" s="2"/>
      <c r="O43" s="21">
        <v>90</v>
      </c>
      <c r="P43" s="29">
        <v>100</v>
      </c>
      <c r="Q43" s="22">
        <f t="shared" si="16"/>
        <v>0</v>
      </c>
      <c r="R43" s="22">
        <f t="shared" si="13"/>
        <v>80.237965159867713</v>
      </c>
      <c r="S43" s="19"/>
      <c r="T43" s="2">
        <v>90</v>
      </c>
      <c r="U43" s="2">
        <f t="shared" si="17"/>
        <v>57.5</v>
      </c>
    </row>
    <row r="44" spans="2:21" x14ac:dyDescent="0.2">
      <c r="E44" s="12"/>
      <c r="F44" s="23">
        <v>100</v>
      </c>
      <c r="G44" s="29">
        <v>110</v>
      </c>
      <c r="H44" s="22">
        <f t="shared" si="14"/>
        <v>0</v>
      </c>
      <c r="I44" s="22">
        <f t="shared" si="12"/>
        <v>178.39660859977951</v>
      </c>
      <c r="J44" s="19"/>
      <c r="K44" s="2">
        <v>100</v>
      </c>
      <c r="L44" s="2">
        <f t="shared" si="15"/>
        <v>130.5</v>
      </c>
      <c r="M44" s="2"/>
      <c r="N44" s="2"/>
      <c r="O44" s="23">
        <v>100</v>
      </c>
      <c r="P44" s="29">
        <v>110</v>
      </c>
      <c r="Q44" s="22">
        <f t="shared" si="16"/>
        <v>0</v>
      </c>
      <c r="R44" s="22">
        <f t="shared" si="13"/>
        <v>73.053473869900785</v>
      </c>
      <c r="S44" s="19"/>
      <c r="T44" s="2">
        <v>100</v>
      </c>
      <c r="U44" s="2">
        <f t="shared" si="17"/>
        <v>51.5</v>
      </c>
    </row>
    <row r="45" spans="2:21" x14ac:dyDescent="0.2">
      <c r="E45" s="12"/>
      <c r="F45" s="24">
        <v>110</v>
      </c>
      <c r="G45" s="30">
        <v>120</v>
      </c>
      <c r="H45" s="22">
        <f>IF(AND($C$11&gt;=F45,$C$11&lt;=G45,1),I45,IF($C$11&lt;F45,0,$L$46))</f>
        <v>0</v>
      </c>
      <c r="I45" s="25">
        <f t="shared" si="12"/>
        <v>172.60694773980157</v>
      </c>
      <c r="J45" s="19"/>
      <c r="K45" s="2">
        <v>110</v>
      </c>
      <c r="L45" s="2">
        <f t="shared" si="15"/>
        <v>120.5</v>
      </c>
      <c r="M45" s="2"/>
      <c r="N45" s="2"/>
      <c r="O45" s="24">
        <v>110</v>
      </c>
      <c r="P45" s="30">
        <v>120</v>
      </c>
      <c r="Q45" s="22">
        <f>IF(AND($C$11&gt;=O45,$C$11&lt;=P45,1),R45,IF($C$11&lt;O45,0,$U$46))</f>
        <v>0</v>
      </c>
      <c r="R45" s="25">
        <f t="shared" si="13"/>
        <v>73.053473869900785</v>
      </c>
      <c r="S45" s="19"/>
      <c r="T45" s="2">
        <v>110</v>
      </c>
      <c r="U45" s="2">
        <f t="shared" si="17"/>
        <v>47</v>
      </c>
    </row>
    <row r="46" spans="2:21" x14ac:dyDescent="0.2">
      <c r="E46" s="12"/>
      <c r="F46" s="5"/>
      <c r="K46" s="2">
        <v>120</v>
      </c>
      <c r="L46" s="2">
        <f t="shared" si="15"/>
        <v>111.5</v>
      </c>
      <c r="M46" s="2"/>
      <c r="N46" s="2"/>
      <c r="O46" s="5"/>
      <c r="S46" s="19"/>
      <c r="T46" s="2">
        <v>120</v>
      </c>
      <c r="U46" s="2">
        <f t="shared" si="17"/>
        <v>42.5</v>
      </c>
    </row>
    <row r="47" spans="2:21" x14ac:dyDescent="0.2">
      <c r="E47" s="12"/>
      <c r="S47" s="19"/>
      <c r="T47" s="2"/>
      <c r="U47" s="2"/>
    </row>
    <row r="48" spans="2:21" x14ac:dyDescent="0.2">
      <c r="E48" s="12"/>
      <c r="F48" s="250" t="s">
        <v>29</v>
      </c>
      <c r="G48" s="252"/>
      <c r="H48" s="252"/>
      <c r="I48" s="252"/>
      <c r="J48" s="252"/>
      <c r="K48" s="252"/>
      <c r="L48" s="252"/>
      <c r="M48" s="252"/>
      <c r="N48" s="252"/>
      <c r="O48" s="252"/>
      <c r="P48" s="252"/>
      <c r="Q48" s="54"/>
      <c r="S48" s="19"/>
      <c r="T48" s="2"/>
      <c r="U48" s="2"/>
    </row>
    <row r="49" spans="5:21" x14ac:dyDescent="0.2">
      <c r="F49" s="55"/>
      <c r="G49" s="14">
        <f>'5 ans Modèle'!$D$36</f>
        <v>70.400000000000006</v>
      </c>
      <c r="H49" s="14">
        <v>0</v>
      </c>
      <c r="I49" s="14"/>
      <c r="J49" s="14"/>
      <c r="K49" s="14"/>
      <c r="L49" s="14"/>
      <c r="M49" s="14"/>
      <c r="N49" s="14"/>
      <c r="O49" s="14"/>
      <c r="P49" s="14"/>
      <c r="Q49" s="56"/>
      <c r="S49" s="19"/>
      <c r="T49" s="2"/>
      <c r="U49" s="2"/>
    </row>
    <row r="50" spans="5:21" x14ac:dyDescent="0.2">
      <c r="E50" s="14"/>
      <c r="F50" s="55"/>
      <c r="G50" s="14">
        <f>'5 ans Modèle'!$D$36</f>
        <v>70.400000000000006</v>
      </c>
      <c r="H50" s="57">
        <f>'5 ans Modèle'!D37</f>
        <v>142.72406092163607</v>
      </c>
      <c r="I50" s="14"/>
      <c r="J50" s="14"/>
      <c r="K50" s="14"/>
      <c r="L50" s="14"/>
      <c r="M50" s="14"/>
      <c r="N50" s="14"/>
      <c r="O50" s="14"/>
      <c r="P50" s="14"/>
      <c r="Q50" s="56"/>
      <c r="S50" s="253"/>
      <c r="T50" s="2"/>
      <c r="U50" s="2"/>
    </row>
    <row r="51" spans="5:21" x14ac:dyDescent="0.2">
      <c r="E51" s="14"/>
      <c r="F51" s="55"/>
      <c r="G51" s="14"/>
      <c r="H51" s="14"/>
      <c r="I51" s="14"/>
      <c r="J51" s="14"/>
      <c r="K51" s="14"/>
      <c r="L51" s="14"/>
      <c r="M51" s="14"/>
      <c r="N51" s="14"/>
      <c r="O51" s="14"/>
      <c r="P51" s="14"/>
      <c r="Q51" s="56"/>
      <c r="S51" s="19"/>
      <c r="T51" s="2"/>
      <c r="U51" s="2"/>
    </row>
    <row r="52" spans="5:21" x14ac:dyDescent="0.2">
      <c r="E52" s="12"/>
      <c r="F52" s="55"/>
      <c r="G52" s="57">
        <f>'5 ans Modèle'!$D$37</f>
        <v>142.72406092163607</v>
      </c>
      <c r="H52" s="14">
        <v>0</v>
      </c>
      <c r="I52" s="14"/>
      <c r="J52" s="14"/>
      <c r="K52" s="14"/>
      <c r="L52" s="14"/>
      <c r="M52" s="14"/>
      <c r="N52" s="14"/>
      <c r="O52" s="14"/>
      <c r="P52" s="14"/>
      <c r="Q52" s="56"/>
      <c r="T52" s="2"/>
      <c r="U52" s="2"/>
    </row>
    <row r="53" spans="5:21" x14ac:dyDescent="0.2">
      <c r="E53" s="12"/>
      <c r="F53" s="55"/>
      <c r="G53" s="57">
        <f>'5 ans Modèle'!$D$37</f>
        <v>142.72406092163607</v>
      </c>
      <c r="H53" s="14">
        <f>'5 ans Modèle'!D36</f>
        <v>70.400000000000006</v>
      </c>
      <c r="I53" s="14"/>
      <c r="J53" s="14"/>
      <c r="K53" s="14"/>
      <c r="L53" s="14"/>
      <c r="M53" s="14"/>
      <c r="N53" s="14"/>
      <c r="O53" s="14"/>
      <c r="P53" s="14"/>
      <c r="Q53" s="56"/>
    </row>
    <row r="54" spans="5:21" x14ac:dyDescent="0.2">
      <c r="E54" s="12"/>
      <c r="F54" s="55"/>
      <c r="G54" s="14"/>
      <c r="H54" s="14"/>
      <c r="I54" s="14"/>
      <c r="J54" s="14"/>
      <c r="K54" s="14"/>
      <c r="L54" s="14"/>
      <c r="M54" s="14"/>
      <c r="N54" s="14"/>
      <c r="O54" s="14"/>
      <c r="P54" s="14"/>
      <c r="Q54" s="56"/>
    </row>
    <row r="55" spans="5:21" x14ac:dyDescent="0.2">
      <c r="E55" s="12"/>
      <c r="F55" s="55"/>
      <c r="G55" s="6"/>
      <c r="H55" s="12" t="s">
        <v>24</v>
      </c>
      <c r="I55" s="6"/>
      <c r="J55" s="6"/>
      <c r="K55" s="6"/>
      <c r="L55" s="14" t="s">
        <v>24</v>
      </c>
      <c r="M55" s="14"/>
      <c r="N55" s="14"/>
      <c r="O55" s="6"/>
      <c r="P55" s="14"/>
      <c r="Q55" s="47" t="s">
        <v>23</v>
      </c>
    </row>
    <row r="56" spans="5:21" x14ac:dyDescent="0.2">
      <c r="E56" s="12"/>
      <c r="F56" s="55"/>
      <c r="G56" s="58">
        <v>5</v>
      </c>
      <c r="H56" s="6">
        <v>318</v>
      </c>
      <c r="I56" s="6"/>
      <c r="J56" s="6"/>
      <c r="K56" s="58">
        <v>5</v>
      </c>
      <c r="L56" s="65">
        <f>IF($L$55="5 ans",H56,0)+IF($L$55="1 an",Q56,0)</f>
        <v>318</v>
      </c>
      <c r="M56" s="6"/>
      <c r="N56" s="6"/>
      <c r="O56" s="6"/>
      <c r="P56" s="58">
        <v>5</v>
      </c>
      <c r="Q56" s="59">
        <v>180</v>
      </c>
      <c r="T56" s="2"/>
    </row>
    <row r="57" spans="5:21" x14ac:dyDescent="0.2">
      <c r="F57" s="55"/>
      <c r="G57" s="58">
        <v>10</v>
      </c>
      <c r="H57" s="6">
        <v>284</v>
      </c>
      <c r="I57" s="6"/>
      <c r="J57" s="6"/>
      <c r="K57" s="58">
        <v>10</v>
      </c>
      <c r="L57" s="65">
        <f t="shared" ref="L57:L68" si="18">IF($L$55="5 ans",H57,0)+IF($L$55="1 an",Q57,0)</f>
        <v>284</v>
      </c>
      <c r="M57" s="6"/>
      <c r="N57" s="6"/>
      <c r="O57" s="6"/>
      <c r="P57" s="58">
        <v>10</v>
      </c>
      <c r="Q57" s="59">
        <v>159</v>
      </c>
      <c r="T57" s="2"/>
    </row>
    <row r="58" spans="5:21" x14ac:dyDescent="0.2">
      <c r="F58" s="55"/>
      <c r="G58" s="58">
        <v>20</v>
      </c>
      <c r="H58" s="6">
        <v>246</v>
      </c>
      <c r="I58" s="6"/>
      <c r="J58" s="6"/>
      <c r="K58" s="58">
        <v>20</v>
      </c>
      <c r="L58" s="65">
        <f t="shared" si="18"/>
        <v>246</v>
      </c>
      <c r="M58" s="6"/>
      <c r="N58" s="6"/>
      <c r="O58" s="6"/>
      <c r="P58" s="58">
        <v>20</v>
      </c>
      <c r="Q58" s="59">
        <v>132</v>
      </c>
      <c r="T58" s="2"/>
    </row>
    <row r="59" spans="5:21" x14ac:dyDescent="0.2">
      <c r="F59" s="55"/>
      <c r="G59" s="58">
        <v>30</v>
      </c>
      <c r="H59" s="6">
        <v>217</v>
      </c>
      <c r="I59" s="6"/>
      <c r="J59" s="6"/>
      <c r="K59" s="58">
        <v>30</v>
      </c>
      <c r="L59" s="65">
        <f t="shared" si="18"/>
        <v>217</v>
      </c>
      <c r="M59" s="6"/>
      <c r="N59" s="6"/>
      <c r="O59" s="6"/>
      <c r="P59" s="58">
        <v>30</v>
      </c>
      <c r="Q59" s="59">
        <v>111</v>
      </c>
      <c r="T59" s="2"/>
    </row>
    <row r="60" spans="5:21" x14ac:dyDescent="0.2">
      <c r="E60" s="15"/>
      <c r="F60" s="55"/>
      <c r="G60" s="58">
        <v>40</v>
      </c>
      <c r="H60" s="6">
        <v>195</v>
      </c>
      <c r="I60" s="6"/>
      <c r="J60" s="6"/>
      <c r="K60" s="58">
        <v>40</v>
      </c>
      <c r="L60" s="65">
        <f t="shared" si="18"/>
        <v>195</v>
      </c>
      <c r="M60" s="6"/>
      <c r="N60" s="6"/>
      <c r="O60" s="6"/>
      <c r="P60" s="58">
        <v>40</v>
      </c>
      <c r="Q60" s="59">
        <v>96</v>
      </c>
      <c r="T60" s="2"/>
    </row>
    <row r="61" spans="5:21" x14ac:dyDescent="0.2">
      <c r="E61" s="15"/>
      <c r="F61" s="55"/>
      <c r="G61" s="58">
        <v>50</v>
      </c>
      <c r="H61" s="6">
        <v>176</v>
      </c>
      <c r="I61" s="6"/>
      <c r="J61" s="6"/>
      <c r="K61" s="58">
        <v>50</v>
      </c>
      <c r="L61" s="65">
        <f t="shared" si="18"/>
        <v>176</v>
      </c>
      <c r="M61" s="6"/>
      <c r="N61" s="6"/>
      <c r="O61" s="6"/>
      <c r="P61" s="58">
        <v>50</v>
      </c>
      <c r="Q61" s="59">
        <v>82</v>
      </c>
      <c r="T61" s="2"/>
    </row>
    <row r="62" spans="5:21" x14ac:dyDescent="0.2">
      <c r="E62" s="15"/>
      <c r="F62" s="55"/>
      <c r="G62" s="58">
        <v>60</v>
      </c>
      <c r="H62" s="6">
        <v>159</v>
      </c>
      <c r="I62" s="6"/>
      <c r="J62" s="6"/>
      <c r="K62" s="58">
        <v>60</v>
      </c>
      <c r="L62" s="65">
        <f t="shared" si="18"/>
        <v>159</v>
      </c>
      <c r="M62" s="6"/>
      <c r="N62" s="6"/>
      <c r="O62" s="6"/>
      <c r="P62" s="58">
        <v>60</v>
      </c>
      <c r="Q62" s="59">
        <v>70</v>
      </c>
      <c r="T62" s="2"/>
    </row>
    <row r="63" spans="5:21" x14ac:dyDescent="0.2">
      <c r="F63" s="55"/>
      <c r="G63" s="58">
        <v>70</v>
      </c>
      <c r="H63" s="6">
        <v>144</v>
      </c>
      <c r="I63" s="6"/>
      <c r="J63" s="6"/>
      <c r="K63" s="58">
        <v>70</v>
      </c>
      <c r="L63" s="65">
        <f t="shared" si="18"/>
        <v>144</v>
      </c>
      <c r="M63" s="6"/>
      <c r="N63" s="6"/>
      <c r="O63" s="6"/>
      <c r="P63" s="58">
        <v>70</v>
      </c>
      <c r="Q63" s="59">
        <v>61</v>
      </c>
      <c r="T63" s="2"/>
    </row>
    <row r="64" spans="5:21" x14ac:dyDescent="0.2">
      <c r="F64" s="55"/>
      <c r="G64" s="58">
        <v>80</v>
      </c>
      <c r="H64" s="6">
        <v>131</v>
      </c>
      <c r="I64" s="6"/>
      <c r="J64" s="6"/>
      <c r="K64" s="58">
        <v>80</v>
      </c>
      <c r="L64" s="65">
        <f t="shared" si="18"/>
        <v>131</v>
      </c>
      <c r="M64" s="6"/>
      <c r="N64" s="6"/>
      <c r="O64" s="6"/>
      <c r="P64" s="58">
        <v>80</v>
      </c>
      <c r="Q64" s="59">
        <v>53</v>
      </c>
      <c r="T64" s="2"/>
    </row>
    <row r="65" spans="2:20" x14ac:dyDescent="0.2">
      <c r="F65" s="55"/>
      <c r="G65" s="58">
        <v>90</v>
      </c>
      <c r="H65" s="6">
        <v>120</v>
      </c>
      <c r="I65" s="6"/>
      <c r="J65" s="6"/>
      <c r="K65" s="58">
        <v>90</v>
      </c>
      <c r="L65" s="65">
        <f t="shared" si="18"/>
        <v>120</v>
      </c>
      <c r="M65" s="6"/>
      <c r="N65" s="6"/>
      <c r="O65" s="6"/>
      <c r="P65" s="58">
        <v>90</v>
      </c>
      <c r="Q65" s="59">
        <v>46</v>
      </c>
      <c r="T65" s="2"/>
    </row>
    <row r="66" spans="2:20" x14ac:dyDescent="0.2">
      <c r="B66" s="11"/>
      <c r="C66" s="2"/>
      <c r="F66" s="55"/>
      <c r="G66" s="58">
        <v>100</v>
      </c>
      <c r="H66" s="6">
        <v>110</v>
      </c>
      <c r="I66" s="6"/>
      <c r="J66" s="6"/>
      <c r="K66" s="58">
        <v>100</v>
      </c>
      <c r="L66" s="65">
        <f t="shared" si="18"/>
        <v>110</v>
      </c>
      <c r="M66" s="6"/>
      <c r="N66" s="6"/>
      <c r="O66" s="6"/>
      <c r="P66" s="58">
        <v>100</v>
      </c>
      <c r="Q66" s="59">
        <v>41</v>
      </c>
      <c r="T66" s="2"/>
    </row>
    <row r="67" spans="2:20" x14ac:dyDescent="0.2">
      <c r="C67" s="2"/>
      <c r="F67" s="55"/>
      <c r="G67" s="58">
        <v>110</v>
      </c>
      <c r="H67" s="6">
        <v>101</v>
      </c>
      <c r="I67" s="6"/>
      <c r="J67" s="6"/>
      <c r="K67" s="58">
        <v>110</v>
      </c>
      <c r="L67" s="65">
        <f t="shared" si="18"/>
        <v>101</v>
      </c>
      <c r="M67" s="6"/>
      <c r="N67" s="6"/>
      <c r="O67" s="6"/>
      <c r="P67" s="58">
        <v>110</v>
      </c>
      <c r="Q67" s="59">
        <v>38</v>
      </c>
      <c r="T67" s="2"/>
    </row>
    <row r="68" spans="2:20" x14ac:dyDescent="0.2">
      <c r="C68" s="2"/>
      <c r="F68" s="60"/>
      <c r="G68" s="61">
        <v>120</v>
      </c>
      <c r="H68" s="62">
        <v>93</v>
      </c>
      <c r="I68" s="63"/>
      <c r="J68" s="63"/>
      <c r="K68" s="61">
        <v>120</v>
      </c>
      <c r="L68" s="66">
        <f t="shared" si="18"/>
        <v>93</v>
      </c>
      <c r="M68" s="62"/>
      <c r="N68" s="62"/>
      <c r="O68" s="63"/>
      <c r="P68" s="61">
        <v>120</v>
      </c>
      <c r="Q68" s="64">
        <v>35</v>
      </c>
      <c r="T68" s="2"/>
    </row>
    <row r="69" spans="2:20" x14ac:dyDescent="0.2">
      <c r="C69" s="2"/>
    </row>
    <row r="70" spans="2:20" x14ac:dyDescent="0.2">
      <c r="C70" s="2"/>
      <c r="G70" s="4"/>
      <c r="H70" s="4"/>
      <c r="K70" s="7"/>
    </row>
    <row r="71" spans="2:20" x14ac:dyDescent="0.2">
      <c r="C71" s="2"/>
      <c r="I71" s="9"/>
      <c r="J71" s="9"/>
      <c r="K71" s="1"/>
      <c r="L71" s="8"/>
      <c r="M71" s="8"/>
      <c r="N71" s="8"/>
    </row>
    <row r="72" spans="2:20" x14ac:dyDescent="0.2">
      <c r="C72" s="2"/>
      <c r="K72" s="1"/>
      <c r="L72" s="2"/>
      <c r="M72" s="2"/>
      <c r="N72" s="2"/>
    </row>
    <row r="73" spans="2:20" x14ac:dyDescent="0.2">
      <c r="C73" s="2"/>
      <c r="K73" s="1"/>
      <c r="L73" s="2"/>
      <c r="M73" s="2"/>
      <c r="N73" s="2"/>
    </row>
    <row r="74" spans="2:20" x14ac:dyDescent="0.2">
      <c r="C74" s="2"/>
      <c r="K74" s="1"/>
      <c r="L74" s="2"/>
      <c r="M74" s="2"/>
      <c r="N74" s="2"/>
    </row>
    <row r="75" spans="2:20" x14ac:dyDescent="0.2">
      <c r="C75" s="2"/>
      <c r="L75" s="2"/>
      <c r="M75" s="2"/>
      <c r="N75" s="2"/>
    </row>
    <row r="76" spans="2:20" x14ac:dyDescent="0.2">
      <c r="C76" s="2"/>
      <c r="G76" s="10"/>
      <c r="H76" s="10"/>
    </row>
    <row r="77" spans="2:20" x14ac:dyDescent="0.2">
      <c r="C77" s="2"/>
    </row>
    <row r="78" spans="2:20" x14ac:dyDescent="0.2">
      <c r="C78" s="2"/>
    </row>
  </sheetData>
  <mergeCells count="12">
    <mergeCell ref="F18:G18"/>
    <mergeCell ref="O18:P18"/>
    <mergeCell ref="F32:I32"/>
    <mergeCell ref="O32:R32"/>
    <mergeCell ref="F33:G33"/>
    <mergeCell ref="O33:P33"/>
    <mergeCell ref="F2:I2"/>
    <mergeCell ref="O2:R2"/>
    <mergeCell ref="F3:G3"/>
    <mergeCell ref="O3:P3"/>
    <mergeCell ref="F17:I17"/>
    <mergeCell ref="O17:R17"/>
  </mergeCells>
  <conditionalFormatting sqref="F34:F45 F19:F30 F4:F15 O4:O15 O19:O30 O34:O45">
    <cfRule type="cellIs" dxfId="1" priority="2" stopIfTrue="1" operator="between">
      <formula>$C$11-5</formula>
      <formula>$C$11</formula>
    </cfRule>
  </conditionalFormatting>
  <conditionalFormatting sqref="G4:H15 G19:H30 G34:H45 P4:Q15 P19:Q30 P34:Q45">
    <cfRule type="cellIs" dxfId="0" priority="1" stopIfTrue="1" operator="between">
      <formula>$C$11</formula>
      <formula>$C$11+9</formula>
    </cfRule>
  </conditionalFormatting>
  <pageMargins left="0.25" right="0.25"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Texte intro</vt:lpstr>
      <vt:lpstr>5 ans Modèle</vt:lpstr>
      <vt:lpstr>SZ</vt:lpstr>
      <vt:lpstr>Cartes de zones</vt:lpstr>
      <vt:lpstr>Equation</vt:lpstr>
      <vt:lpstr>A2</vt:lpstr>
      <vt:lpst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gb</dc:creator>
  <cp:lastModifiedBy>Serras Sergio</cp:lastModifiedBy>
  <cp:lastPrinted>2021-02-18T08:37:45Z</cp:lastPrinted>
  <dcterms:created xsi:type="dcterms:W3CDTF">2011-02-04T08:22:38Z</dcterms:created>
  <dcterms:modified xsi:type="dcterms:W3CDTF">2021-03-26T14:35:38Z</dcterms:modified>
</cp:coreProperties>
</file>